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7MGGogVS7LgdCKTmqjrEHoBaouV6yagkHx2UVbNIPp58ozSa22j+7LvbbZ74Zha60+DOk8CldTObf9ABo5oDdw==" workbookSaltValue="4lVTItX6LT3jYz00wHrf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T9" i="11" s="1"/>
  <c r="EP19" i="8"/>
  <c r="ER19" i="13"/>
  <c r="AL13" i="16"/>
  <c r="AJ13" i="16"/>
  <c r="EP19" i="19"/>
  <c r="BH17" i="16"/>
  <c r="S13" i="16"/>
  <c r="P13" i="16"/>
  <c r="AM13" i="20"/>
  <c r="K18" i="2"/>
  <c r="M13" i="2"/>
  <c r="M18" i="2"/>
  <c r="N13" i="2"/>
  <c r="N18" i="2"/>
  <c r="T13" i="12"/>
  <c r="V11" i="11"/>
  <c r="BG15" i="11"/>
  <c r="BU10" i="17"/>
  <c r="BU16" i="17"/>
  <c r="T13" i="16"/>
  <c r="AZ12" i="11"/>
  <c r="BH10" i="16"/>
  <c r="T13" i="20"/>
  <c r="BF15" i="8"/>
  <c r="BF9" i="8"/>
  <c r="AU18" i="21"/>
  <c r="AH13" i="16"/>
  <c r="L16" i="2"/>
  <c r="AP13" i="16"/>
  <c r="T18" i="17"/>
  <c r="BG15" i="13"/>
  <c r="BE16" i="13"/>
  <c r="BE15" i="13"/>
  <c r="AX20" i="20"/>
  <c r="B18" i="7" l="1"/>
  <c r="S19" i="8"/>
  <c r="AB13" i="21"/>
  <c r="C12" i="14"/>
  <c r="K12" i="14" s="1"/>
  <c r="I11" i="3"/>
  <c r="C13" i="7"/>
  <c r="BG10" i="8"/>
  <c r="B9" i="6"/>
  <c r="BH16" i="11"/>
  <c r="BH10" i="11"/>
  <c r="BW11" i="20"/>
  <c r="AP17" i="20"/>
  <c r="BI15" i="11"/>
  <c r="BL17" i="11"/>
  <c r="AL16" i="11"/>
  <c r="C16" i="6"/>
  <c r="BE9" i="13"/>
  <c r="V9" i="16"/>
  <c r="U9" i="17"/>
  <c r="U19" i="17" s="1"/>
  <c r="BJ16" i="11"/>
  <c r="BM17" i="11"/>
  <c r="AQ10" i="21"/>
  <c r="BG12" i="11"/>
  <c r="BW10" i="20"/>
  <c r="BW12" i="20"/>
  <c r="BU11" i="17"/>
  <c r="BK17" i="11"/>
  <c r="BJ12" i="11"/>
  <c r="BM12" i="11"/>
  <c r="BF10" i="11"/>
  <c r="BM16" i="11"/>
  <c r="BH11" i="16"/>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Q9" i="11" s="1"/>
  <c r="BF11" i="1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S20" i="20"/>
  <c r="O20" i="20"/>
  <c r="AG20" i="20"/>
  <c r="AP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U12" i="11"/>
  <c r="AI20" i="20"/>
  <c r="E20" i="20"/>
  <c r="AL20" i="20"/>
  <c r="F20" i="20"/>
  <c r="AQ20" i="20"/>
  <c r="AF20" i="20"/>
  <c r="W20" i="20"/>
  <c r="AC20" i="20"/>
  <c r="O10" i="11"/>
  <c r="K20" i="20"/>
  <c r="AH20" i="20"/>
  <c r="O16" i="11"/>
  <c r="Q20" i="20"/>
  <c r="H20" i="20"/>
  <c r="J18" i="2" l="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AL19" i="2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AT20" i="20"/>
  <c r="W20" i="17"/>
  <c r="Q20" i="21"/>
  <c r="AJ20" i="11"/>
  <c r="Y20" i="11"/>
  <c r="X20" i="11"/>
  <c r="R20" i="11"/>
  <c r="AE20" i="16"/>
  <c r="P20" i="16"/>
  <c r="AM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W20" i="16"/>
  <c r="AY20" i="11"/>
  <c r="AA20" i="17"/>
  <c r="AM20" i="21"/>
  <c r="AC20" i="16"/>
  <c r="AV20" i="16"/>
  <c r="AA20" i="21"/>
  <c r="AK20" i="21"/>
  <c r="AN20" i="11"/>
  <c r="Y20" i="21"/>
  <c r="Y20" i="16"/>
  <c r="AH20" i="17"/>
  <c r="AO20" i="21"/>
  <c r="N20" i="21"/>
  <c r="F20" i="11"/>
  <c r="AE20" i="11"/>
  <c r="AM20" i="16"/>
  <c r="AH20" i="21"/>
  <c r="AP20" i="16"/>
  <c r="Q20" i="11"/>
  <c r="Z20" i="16"/>
  <c r="AG20" i="17"/>
  <c r="AI20" i="21"/>
  <c r="BB20" i="16"/>
  <c r="AS20" i="16"/>
  <c r="BS20" i="16"/>
  <c r="U20" i="20"/>
  <c r="H20" i="12"/>
  <c r="AL20" i="21"/>
  <c r="AA20" i="11"/>
  <c r="AR20" i="17"/>
  <c r="AB20" i="17"/>
  <c r="AI20" i="16"/>
  <c r="Y20" i="17"/>
  <c r="AM20" i="11"/>
  <c r="I20" i="17"/>
  <c r="N20" i="17"/>
  <c r="BQ20" i="16"/>
  <c r="E20" i="12"/>
  <c r="AA20" i="16"/>
  <c r="AW20" i="16"/>
  <c r="BO20" i="16"/>
  <c r="AF20" i="16"/>
  <c r="AN20" i="17"/>
  <c r="O20" i="16"/>
  <c r="AH20" i="11"/>
  <c r="BH20" i="16"/>
  <c r="K20" i="12"/>
  <c r="AR20" i="16"/>
  <c r="N20" i="16"/>
  <c r="T20" i="17"/>
  <c r="K20" i="21"/>
  <c r="AU20" i="11"/>
  <c r="L20" i="21"/>
  <c r="F20" i="17"/>
  <c r="M20" i="16"/>
  <c r="Z20" i="17"/>
  <c r="O12" i="11"/>
  <c r="BA20" i="16"/>
  <c r="BD19" i="8" l="1"/>
  <c r="AQ20" i="17"/>
  <c r="AT20" i="21"/>
  <c r="BL20" i="16"/>
  <c r="AQ20" i="11"/>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<sst xmlns="http://schemas.openxmlformats.org/spreadsheetml/2006/main" count="2102" uniqueCount="918">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</sst>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dZR7JfAJb1fbHO8eRRF1B78fbZKJRQA1QJQneULNTpkaB3UhrumBMQG0gDQCMKAVwsv5w2vjJctQ+XkW3JmIA==" saltValue="GoG5oLuTb6DFSvod9Zso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v>
      </c>
      <c r="D10" s="225">
        <f>IF(ISNUMBER(Datos!I10),Datos!I10," - ")</f>
        <v>17</v>
      </c>
      <c r="E10" s="226">
        <f>IF(ISNUMBER(Datos!J10),Datos!J10," - ")</f>
        <v>6</v>
      </c>
      <c r="F10" s="226">
        <f>IF(ISNUMBER(Datos!K10),Datos!K10," - ")</f>
        <v>2</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0.23529411764705882</v>
      </c>
      <c r="L10" s="1025">
        <f>IF(ISNUMBER(NºAsuntos!I10/NºAsuntos!G10),(NºAsuntos!I10/NºAsuntos!G10)*11," - ")</f>
        <v>115.5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171.23976608187135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v>
      </c>
      <c r="D13" s="1049">
        <f>SUBTOTAL(9,D9:D12)</f>
        <v>17</v>
      </c>
      <c r="E13" s="1050">
        <f>SUBTOTAL(9,E9:E12)</f>
        <v>6</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1089</v>
      </c>
      <c r="D16" s="225">
        <f>IF(ISNUMBER(IF(D_I="SI",Datos!I16,Datos!I16+Datos!AC16)),IF(D_I="SI",Datos!I16,Datos!I16+Datos!AC16)," - ")</f>
        <v>1089</v>
      </c>
      <c r="E16" s="226">
        <f>IF(ISNUMBER(IF(D_I="SI",Datos!J16,Datos!J16+Datos!AD16)),IF(D_I="SI",Datos!J16,Datos!J16+Datos!AD16)," - ")</f>
        <v>281</v>
      </c>
      <c r="F16" s="226">
        <f>IF(ISNUMBER(IF(D_I="SI",Datos!K16,Datos!K16+Datos!AE16)),IF(D_I="SI",Datos!K16,Datos!K16+Datos!AE16)," - ")</f>
        <v>148</v>
      </c>
      <c r="G16" s="1034" t="str">
        <f>IF(Datos!E16&lt;&gt;"",Datos!E16,Datos!D16)</f>
        <v>04</v>
      </c>
      <c r="H16" s="227">
        <f>IF(ISNUMBER(IF(D_I="SI",Datos!L16,Datos!L16+Datos!AF16)),IF(D_I="SI",Datos!L16,Datos!L16+Datos!AF16)," - ")</f>
        <v>1222</v>
      </c>
      <c r="I16" s="1044" t="str">
        <f>IF(ISNUMBER(Datos!AS16/Datos!BM16),Datos!AS16/Datos!BM16," - ")</f>
        <v xml:space="preserve"> - </v>
      </c>
      <c r="J16" s="1045">
        <f>IF(ISNUMBER(Datos!BY16/Datos!CN16),Datos!BY16/Datos!CN16," - ")</f>
        <v>0</v>
      </c>
      <c r="K16" s="230">
        <f t="shared" si="3"/>
        <v>0.12213039485766758</v>
      </c>
      <c r="L16" s="1025">
        <f>IF(ISNUMBER(NºAsuntos!I16/NºAsuntos!G16),(NºAsuntos!I16/NºAsuntos!G16)*11," - ")</f>
        <v>90.824324324324323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40</v>
      </c>
      <c r="D17" s="225">
        <f>IF(ISNUMBER(IF(D_I="SI",Datos!I17,Datos!I17+Datos!AC17)),IF(D_I="SI",Datos!I17,Datos!I17+Datos!AC17)," - ")</f>
        <v>40</v>
      </c>
      <c r="E17" s="226">
        <f>IF(ISNUMBER(IF(D_I="SI",Datos!J17,Datos!J17+Datos!AD17)),IF(D_I="SI",Datos!J17,Datos!J17+Datos!AD17)," - ")</f>
        <v>45</v>
      </c>
      <c r="F17" s="226">
        <f>IF(ISNUMBER(IF(D_I="SI",Datos!K17,Datos!K17+Datos!AE17)),IF(D_I="SI",Datos!K17,Datos!K17+Datos!AE17)," - ")</f>
        <v>34</v>
      </c>
      <c r="G17" s="1034" t="str">
        <f>IF(Datos!E17&lt;&gt;"",Datos!E17,Datos!D17)</f>
        <v>37</v>
      </c>
      <c r="H17" s="227">
        <f>IF(ISNUMBER(IF(D_I="SI",Datos!L17,Datos!L17+Datos!AF17)),IF(D_I="SI",Datos!L17,Datos!L17+Datos!AF17)," - ")</f>
        <v>51</v>
      </c>
      <c r="I17" s="1044" t="str">
        <f>IF(ISNUMBER(Datos!AS17/Datos!BM17),Datos!AS17/Datos!BM17," - ")</f>
        <v xml:space="preserve"> - </v>
      </c>
      <c r="J17" s="1045" t="str">
        <f>IF(ISNUMBER((Datos!BY17+Datos!BZ17)/Datos!CN17),(Datos!BY17+Datos!BZ17)/Datos!CN17," - ")</f>
        <v xml:space="preserve"> - </v>
      </c>
      <c r="K17" s="230">
        <f t="shared" si="3"/>
        <v>0.27500000000000002</v>
      </c>
      <c r="L17" s="1025">
        <f>IF(ISNUMBER(NºAsuntos!I17/NºAsuntos!G17),(NºAsuntos!I17/NºAsuntos!G17)*11," - ")</f>
        <v>16.5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1129</v>
      </c>
      <c r="D18" s="1049">
        <f>SUBTOTAL(9,D15:D17)</f>
        <v>1129</v>
      </c>
      <c r="E18" s="1050">
        <f>SUBTOTAL(9,E15:E17)</f>
        <v>326</v>
      </c>
      <c r="F18" s="1050">
        <f>SUBTOTAL(9,F15:F17)</f>
        <v>182</v>
      </c>
      <c r="G18" s="1052" t="str">
        <f ca="1">INDIRECT(CONCATENATE("G",ROW()-1))</f>
        <v>37</v>
      </c>
      <c r="H18" s="1053">
        <f ca="1">SUMIF(G$14:G17,G18,H$14:H17)</f>
        <v>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1146</v>
      </c>
      <c r="D19" s="1071">
        <f>SUBTOTAL(9,D9:D18)</f>
        <v>1146</v>
      </c>
      <c r="E19" s="1072">
        <f>SUBTOTAL(9,E9:E18)</f>
        <v>332</v>
      </c>
      <c r="F19" s="1072">
        <f>SUBTOTAL(9,F9:F18)</f>
        <v>184</v>
      </c>
      <c r="G19" s="1073"/>
      <c r="H19" s="1074">
        <f ca="1">SUMIF(B9:B18,"TOTAL",H9:H18)</f>
        <v>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r3+qMLNmXw38Lpb3dL8gHj1zOranw9bdVLN5ZPVDFgHtmQEPOYvSufcJHTDeCu/enxfQ3Q0vmgCqXTDNbUdHLw==" saltValue="GxcTKskSNUSBfCtTSFQOm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m0mNVOcZAzN/MvpxpHuqxluJdIrSoWffpDPyzo7cGnjvuf+pCUDA52lk8OA59d6DYfcgzpAk3s0bCHPfD9stA==" saltValue="d2BvBx7dAmLQuRDv9xc+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v>
      </c>
      <c r="J10" s="181">
        <v>6</v>
      </c>
      <c r="K10" s="181">
        <v>2</v>
      </c>
      <c r="L10" s="181">
        <v>21</v>
      </c>
      <c r="M10" s="181">
        <v>2</v>
      </c>
      <c r="N10" s="181">
        <v>0</v>
      </c>
      <c r="O10" s="181">
        <v>0</v>
      </c>
      <c r="P10" s="181">
        <v>3</v>
      </c>
      <c r="Q10" s="181">
        <v>0</v>
      </c>
      <c r="R10" s="181">
        <v>9</v>
      </c>
      <c r="S10" s="181">
        <v>12</v>
      </c>
      <c r="T10" s="181">
        <v>0</v>
      </c>
      <c r="U10" s="181">
        <v>0</v>
      </c>
      <c r="V10" s="181">
        <v>12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12</v>
      </c>
      <c r="AZ10" s="129">
        <f t="shared" si="0"/>
        <v>0</v>
      </c>
      <c r="BA10" s="129">
        <f t="shared" si="0"/>
        <v>0</v>
      </c>
      <c r="BB10" s="129">
        <f t="shared" si="0"/>
        <v>12</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2444</v>
      </c>
      <c r="J12" s="183">
        <v>315</v>
      </c>
      <c r="K12" s="183">
        <v>168</v>
      </c>
      <c r="L12" s="183">
        <v>2591</v>
      </c>
      <c r="M12" s="183">
        <v>53</v>
      </c>
      <c r="N12" s="183">
        <v>50</v>
      </c>
      <c r="O12" s="181">
        <v>86</v>
      </c>
      <c r="P12" s="183">
        <v>48</v>
      </c>
      <c r="Q12" s="183">
        <v>27</v>
      </c>
      <c r="R12" s="183">
        <v>2109</v>
      </c>
      <c r="S12" s="183">
        <v>1817</v>
      </c>
      <c r="T12" s="183">
        <v>179</v>
      </c>
      <c r="U12" s="183">
        <v>139</v>
      </c>
      <c r="V12" s="183">
        <v>1857</v>
      </c>
      <c r="W12" s="183">
        <v>56</v>
      </c>
      <c r="X12" s="189">
        <v>23</v>
      </c>
      <c r="Y12" s="191">
        <v>60</v>
      </c>
      <c r="Z12" s="181">
        <v>14</v>
      </c>
      <c r="AA12" s="181">
        <v>3</v>
      </c>
      <c r="AB12" s="181">
        <v>71</v>
      </c>
      <c r="AC12" s="183">
        <v>0</v>
      </c>
      <c r="AD12" s="183">
        <v>0</v>
      </c>
      <c r="AE12" s="183">
        <v>0</v>
      </c>
      <c r="AF12" s="189">
        <v>0</v>
      </c>
      <c r="AG12" s="202">
        <v>61</v>
      </c>
      <c r="AH12" s="183">
        <v>3</v>
      </c>
      <c r="AI12" s="183">
        <v>9</v>
      </c>
      <c r="AJ12" s="203">
        <v>55</v>
      </c>
      <c r="AK12" s="182">
        <v>0</v>
      </c>
      <c r="AL12" s="183">
        <v>0</v>
      </c>
      <c r="AM12" s="183">
        <v>0</v>
      </c>
      <c r="AN12" s="189">
        <v>0</v>
      </c>
      <c r="AO12" s="259">
        <v>2</v>
      </c>
      <c r="AP12" s="155">
        <v>2</v>
      </c>
      <c r="AQ12" s="155">
        <v>2</v>
      </c>
      <c r="AR12" s="154">
        <v>2</v>
      </c>
      <c r="AS12" s="340" t="s">
        <v>802</v>
      </c>
      <c r="AT12" s="203"/>
      <c r="AU12" s="202"/>
      <c r="AV12" s="203"/>
      <c r="AW12" s="202"/>
      <c r="AX12" s="203"/>
      <c r="AY12" s="126">
        <f t="shared" si="1"/>
        <v>1878</v>
      </c>
      <c r="AZ12" s="127">
        <f t="shared" si="1"/>
        <v>182</v>
      </c>
      <c r="BA12" s="127">
        <f t="shared" si="1"/>
        <v>148</v>
      </c>
      <c r="BB12" s="127">
        <f t="shared" si="1"/>
        <v>1912</v>
      </c>
      <c r="BC12" s="125">
        <f>IF(ISNUMBER(X12),X12," - ")</f>
        <v>23</v>
      </c>
      <c r="BD12" s="126">
        <f t="shared" si="2"/>
        <v>0.81318681318681318</v>
      </c>
      <c r="BE12" s="127">
        <f t="shared" si="3"/>
        <v>12.918918918918919</v>
      </c>
      <c r="BF12" s="127">
        <f t="shared" si="4"/>
        <v>0.1554054054054054</v>
      </c>
      <c r="BG12" s="196">
        <f t="shared" si="5"/>
        <v>13.918918918918919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2461</v>
      </c>
      <c r="J13" s="184">
        <f t="shared" si="6"/>
        <v>321</v>
      </c>
      <c r="K13" s="184">
        <f t="shared" si="6"/>
        <v>170</v>
      </c>
      <c r="L13" s="184">
        <f t="shared" si="6"/>
        <v>2612</v>
      </c>
      <c r="M13" s="184">
        <f t="shared" si="6"/>
        <v>55</v>
      </c>
      <c r="N13" s="184">
        <f t="shared" si="6"/>
        <v>50</v>
      </c>
      <c r="O13" s="184">
        <f t="shared" si="6"/>
        <v>86</v>
      </c>
      <c r="P13" s="184">
        <f t="shared" si="6"/>
        <v>51</v>
      </c>
      <c r="Q13" s="184">
        <f t="shared" si="6"/>
        <v>27</v>
      </c>
      <c r="R13" s="184">
        <f t="shared" si="6"/>
        <v>2118</v>
      </c>
      <c r="S13" s="184">
        <f t="shared" si="6"/>
        <v>1829</v>
      </c>
      <c r="T13" s="184">
        <f t="shared" si="6"/>
        <v>179</v>
      </c>
      <c r="U13" s="184">
        <f t="shared" si="6"/>
        <v>139</v>
      </c>
      <c r="V13" s="184">
        <f t="shared" si="6"/>
        <v>1869</v>
      </c>
      <c r="W13" s="184">
        <f t="shared" si="6"/>
        <v>56</v>
      </c>
      <c r="X13" s="184">
        <f t="shared" si="6"/>
        <v>23</v>
      </c>
      <c r="Y13" s="184">
        <f t="shared" si="6"/>
        <v>60</v>
      </c>
      <c r="Z13" s="184">
        <f t="shared" si="6"/>
        <v>14</v>
      </c>
      <c r="AA13" s="184">
        <f t="shared" si="6"/>
        <v>3</v>
      </c>
      <c r="AB13" s="184">
        <f t="shared" si="6"/>
        <v>71</v>
      </c>
      <c r="AC13" s="184">
        <f t="shared" si="6"/>
        <v>0</v>
      </c>
      <c r="AD13" s="184">
        <f t="shared" si="6"/>
        <v>0</v>
      </c>
      <c r="AE13" s="184">
        <f t="shared" si="6"/>
        <v>0</v>
      </c>
      <c r="AF13" s="184">
        <f>SUBTOTAL(9,AF9:AF12)</f>
        <v>0</v>
      </c>
      <c r="AG13" s="184">
        <f t="shared" ref="AG13:AT13" si="7">SUBTOTAL(9,AG8:AG12)</f>
        <v>61</v>
      </c>
      <c r="AH13" s="184">
        <f t="shared" si="7"/>
        <v>3</v>
      </c>
      <c r="AI13" s="184">
        <f t="shared" si="7"/>
        <v>9</v>
      </c>
      <c r="AJ13" s="184">
        <f t="shared" si="7"/>
        <v>55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1890</v>
      </c>
      <c r="AZ13" s="184">
        <f>SUBTOTAL(9,AZ8:AZ12)</f>
        <v>182</v>
      </c>
      <c r="BA13" s="184">
        <f>SUBTOTAL(9,BA8:BA12)</f>
        <v>148</v>
      </c>
      <c r="BB13" s="184">
        <f>SUBTOTAL(9,BB8:BB12)</f>
        <v>1924</v>
      </c>
      <c r="BC13" s="184">
        <f>SUBTOTAL(9,BC8:BC12)</f>
        <v>23</v>
      </c>
      <c r="BD13" s="205">
        <f>IF(ISNUMBER(BA13/AZ13),BA13/AZ13," - ")</f>
        <v>0.81318681318681318</v>
      </c>
      <c r="BE13" s="206">
        <f>IF(ISNUMBER(BB13/BA13),BB13/BA13, " - ")</f>
        <v>13</v>
      </c>
      <c r="BF13" s="206">
        <f>IF(ISNUMBER(BC13/BA13),BC13/BA13, " - ")</f>
        <v>0.1554054054054054</v>
      </c>
      <c r="BG13" s="207">
        <f>IF(ISNUMBER((AY13+AZ13)/BA13),(AY13+AZ13)/BA13," - ")</f>
        <v>14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1089</v>
      </c>
      <c r="J16" s="183">
        <v>281</v>
      </c>
      <c r="K16" s="183">
        <v>148</v>
      </c>
      <c r="L16" s="183">
        <v>1222</v>
      </c>
      <c r="M16" s="183">
        <v>27</v>
      </c>
      <c r="N16" s="183">
        <v>70</v>
      </c>
      <c r="O16" s="181">
        <v>0</v>
      </c>
      <c r="P16" s="183">
        <v>0</v>
      </c>
      <c r="Q16" s="183">
        <v>0</v>
      </c>
      <c r="R16" s="183">
        <v>92</v>
      </c>
      <c r="S16" s="183">
        <v>974</v>
      </c>
      <c r="T16" s="183">
        <v>340</v>
      </c>
      <c r="U16" s="183">
        <v>327</v>
      </c>
      <c r="V16" s="183">
        <v>987</v>
      </c>
      <c r="W16" s="183">
        <v>19</v>
      </c>
      <c r="X16" s="189">
        <v>240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974</v>
      </c>
      <c r="AZ16" s="127">
        <f t="shared" si="9"/>
        <v>340</v>
      </c>
      <c r="BA16" s="127">
        <f t="shared" si="9"/>
        <v>327</v>
      </c>
      <c r="BB16" s="127">
        <f t="shared" si="9"/>
        <v>987</v>
      </c>
      <c r="BC16" s="125">
        <f>IF(ISNUMBER(W16),W16," - ")</f>
        <v>19</v>
      </c>
      <c r="BD16" s="126">
        <f t="shared" ref="BD16" si="11">IF(ISNUMBER(BA16/AZ16),BA16/AZ16," - ")</f>
        <v>0.96176470588235297</v>
      </c>
      <c r="BE16" s="127">
        <f t="shared" ref="BE16" si="12">IF(ISNUMBER(BB16/BA16),BB16/BA16, " - ")</f>
        <v>3.0183486238532109</v>
      </c>
      <c r="BF16" s="127">
        <f t="shared" ref="BF16" si="13">IF(ISNUMBER(BC16/BA16),BC16/BA16, " - ")</f>
        <v>5.8103975535168197E-2</v>
      </c>
      <c r="BG16" s="196">
        <f t="shared" si="10"/>
        <v>4.0183486238532113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40</v>
      </c>
      <c r="J17" s="183">
        <v>45</v>
      </c>
      <c r="K17" s="183">
        <v>34</v>
      </c>
      <c r="L17" s="183">
        <v>51</v>
      </c>
      <c r="M17" s="183">
        <v>2</v>
      </c>
      <c r="N17" s="183">
        <v>20</v>
      </c>
      <c r="O17" s="183">
        <v>0</v>
      </c>
      <c r="P17" s="183">
        <v>0</v>
      </c>
      <c r="Q17" s="183">
        <v>0</v>
      </c>
      <c r="R17" s="183">
        <v>10</v>
      </c>
      <c r="S17" s="183">
        <v>50</v>
      </c>
      <c r="T17" s="183">
        <v>21</v>
      </c>
      <c r="U17" s="183">
        <v>17</v>
      </c>
      <c r="V17" s="183">
        <v>54</v>
      </c>
      <c r="W17" s="183">
        <v>4</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50</v>
      </c>
      <c r="AZ17" s="129">
        <f t="shared" si="14"/>
        <v>21</v>
      </c>
      <c r="BA17" s="129">
        <f t="shared" si="14"/>
        <v>17</v>
      </c>
      <c r="BB17" s="129">
        <f t="shared" si="14"/>
        <v>54</v>
      </c>
      <c r="BC17" s="125">
        <f>IF(ISNUMBER(W17),W17," - ")</f>
        <v>4</v>
      </c>
      <c r="BD17" s="126">
        <f>IF(ISNUMBER(BA17/AZ17),BA17/AZ17," - ")</f>
        <v>0.80952380952380953</v>
      </c>
      <c r="BE17" s="127">
        <f>IF(ISNUMBER(BB17/BA17),BB17/BA17, " - ")</f>
        <v>3.1764705882352939</v>
      </c>
      <c r="BF17" s="127">
        <f>IF(ISNUMBER(BC17/BA17),BC17/BA17, " - ")</f>
        <v>0.23529411764705882</v>
      </c>
      <c r="BG17" s="196">
        <f>IF(ISNUMBER((AY17+AZ17)/BA17),(AY17+AZ17)/BA17," - ")</f>
        <v>4.1764705882352944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1129</v>
      </c>
      <c r="J18" s="184">
        <f t="shared" si="15"/>
        <v>326</v>
      </c>
      <c r="K18" s="184">
        <f t="shared" si="15"/>
        <v>182</v>
      </c>
      <c r="L18" s="184">
        <f t="shared" si="15"/>
        <v>1273</v>
      </c>
      <c r="M18" s="184">
        <f t="shared" si="15"/>
        <v>29</v>
      </c>
      <c r="N18" s="184">
        <f t="shared" si="15"/>
        <v>90</v>
      </c>
      <c r="O18" s="184">
        <f t="shared" si="15"/>
        <v>0</v>
      </c>
      <c r="P18" s="184">
        <f t="shared" si="15"/>
        <v>0</v>
      </c>
      <c r="Q18" s="184">
        <f t="shared" si="15"/>
        <v>0</v>
      </c>
      <c r="R18" s="184">
        <f t="shared" si="15"/>
        <v>102</v>
      </c>
      <c r="S18" s="184">
        <f t="shared" si="15"/>
        <v>1024</v>
      </c>
      <c r="T18" s="184">
        <f t="shared" si="15"/>
        <v>361</v>
      </c>
      <c r="U18" s="184">
        <f t="shared" si="15"/>
        <v>344</v>
      </c>
      <c r="V18" s="184">
        <f t="shared" si="15"/>
        <v>1041</v>
      </c>
      <c r="W18" s="184">
        <f t="shared" si="15"/>
        <v>23</v>
      </c>
      <c r="X18" s="184">
        <f t="shared" si="15"/>
        <v>256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1024</v>
      </c>
      <c r="AZ18" s="184">
        <f>SUBTOTAL(9,AZ14:AZ17)</f>
        <v>361</v>
      </c>
      <c r="BA18" s="184">
        <f>SUBTOTAL(9,BA14:BA17)</f>
        <v>344</v>
      </c>
      <c r="BB18" s="184">
        <f>SUBTOTAL(9,BB14:BB17)</f>
        <v>1041</v>
      </c>
      <c r="BC18" s="184">
        <f>SUBTOTAL(9,BC14:BC17)</f>
        <v>23</v>
      </c>
      <c r="BD18" s="205">
        <f>IF(ISNUMBER(BA18/AZ18),BA18/AZ18," - ")</f>
        <v>0.95290858725761773</v>
      </c>
      <c r="BE18" s="206">
        <f>IF(ISNUMBER(BB18/BA18),BB18/BA18, " - ")</f>
        <v>3.0261627906976742</v>
      </c>
      <c r="BF18" s="206">
        <f>IF(ISNUMBER(BC18/BA18),BC18/BA18, " - ")</f>
        <v>6.6860465116279064E-2</v>
      </c>
      <c r="BG18" s="207">
        <f>IF(ISNUMBER((AY18+AZ18)/BA18),(AY18+AZ18)/BA18," - ")</f>
        <v>4.0261627906976747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3590</v>
      </c>
      <c r="J19" s="134">
        <f t="shared" si="18"/>
        <v>647</v>
      </c>
      <c r="K19" s="134">
        <f t="shared" si="18"/>
        <v>352</v>
      </c>
      <c r="L19" s="134">
        <f t="shared" si="18"/>
        <v>3885</v>
      </c>
      <c r="M19" s="134">
        <f t="shared" si="18"/>
        <v>84</v>
      </c>
      <c r="N19" s="134">
        <f t="shared" si="18"/>
        <v>140</v>
      </c>
      <c r="O19" s="134">
        <f t="shared" si="18"/>
        <v>86</v>
      </c>
      <c r="P19" s="134">
        <f t="shared" si="18"/>
        <v>51</v>
      </c>
      <c r="Q19" s="134">
        <f t="shared" si="18"/>
        <v>27</v>
      </c>
      <c r="R19" s="134">
        <f t="shared" si="18"/>
        <v>2220</v>
      </c>
      <c r="S19" s="134">
        <f t="shared" si="18"/>
        <v>2853</v>
      </c>
      <c r="T19" s="134">
        <f t="shared" si="18"/>
        <v>540</v>
      </c>
      <c r="U19" s="134">
        <f t="shared" si="18"/>
        <v>483</v>
      </c>
      <c r="V19" s="134">
        <f t="shared" si="18"/>
        <v>2910</v>
      </c>
      <c r="W19" s="134">
        <f t="shared" si="18"/>
        <v>79</v>
      </c>
      <c r="X19" s="134">
        <f t="shared" si="18"/>
        <v>279</v>
      </c>
      <c r="Y19" s="134">
        <f t="shared" si="18"/>
        <v>60</v>
      </c>
      <c r="Z19" s="134">
        <f t="shared" si="18"/>
        <v>14</v>
      </c>
      <c r="AA19" s="134">
        <f t="shared" si="18"/>
        <v>3</v>
      </c>
      <c r="AB19" s="134">
        <f t="shared" si="18"/>
        <v>71</v>
      </c>
      <c r="AC19" s="134">
        <f t="shared" si="18"/>
        <v>0</v>
      </c>
      <c r="AD19" s="134">
        <f t="shared" si="18"/>
        <v>0</v>
      </c>
      <c r="AE19" s="134">
        <f t="shared" si="18"/>
        <v>0</v>
      </c>
      <c r="AF19" s="134">
        <f t="shared" si="18"/>
        <v>0</v>
      </c>
      <c r="AG19" s="134">
        <f t="shared" si="18"/>
        <v>61</v>
      </c>
      <c r="AH19" s="134">
        <f t="shared" si="18"/>
        <v>3</v>
      </c>
      <c r="AI19" s="134">
        <f t="shared" si="18"/>
        <v>9</v>
      </c>
      <c r="AJ19" s="134">
        <f t="shared" si="18"/>
        <v>55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2914</v>
      </c>
      <c r="AZ19" s="134">
        <f>SUBTOTAL(9,AZ9:AZ18)</f>
        <v>543</v>
      </c>
      <c r="BA19" s="134">
        <f>SUBTOTAL(9,BA9:BA18)</f>
        <v>492</v>
      </c>
      <c r="BB19" s="134">
        <f>SUBTOTAL(9,BB9:BB18)</f>
        <v>2965</v>
      </c>
      <c r="BC19" s="135">
        <f>SUBTOTAL(9,BC9:BC18)</f>
        <v>46</v>
      </c>
      <c r="BD19" s="213">
        <f>IF(ISNUMBER(BA19/AZ19),BA19/AZ19," - ")</f>
        <v>0.90607734806629836</v>
      </c>
      <c r="BE19" s="210">
        <f>IF(ISNUMBER(BB19/BA19),BB19/BA19, " - ")</f>
        <v>6.0264227642276422</v>
      </c>
      <c r="BF19" s="210">
        <f>IF(ISNUMBER(BC19/BA19),BC19/BA19, " - ")</f>
        <v>9.3495934959349589E-2</v>
      </c>
      <c r="BG19" s="135">
        <f>IF(ISNUMBER((AY19+AZ19)/BA19),(AY19+AZ19)/BA19," - ")</f>
        <v>7.0264227642276422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vXbK8M9jxJnp+xxMgoKqwqPKeKO2oXAgKov8Jfs7God7feEguRAHEnPqDrI8BewM2j99Wzb7Qj5Smw8m/QreQ==" saltValue="in1+xzuTRyQubHV6CTYPc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dcASlYnkLi8Ge2ApfJiY+n390/14abP7EAJ7eojPnGspM++MLyobXrj8C4szvbVVZDZLO1S1zoqW9vPh2++bA==" saltValue="LKXhazEgGfnj+j7yEMcL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MOTILLA DEL PALANCAR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17</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21</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48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71</v>
      </c>
      <c r="AI12" s="334" t="str">
        <f>IF(ISNUMBER(Datos!CD12),Datos!CD12,"-")</f>
        <v>-</v>
      </c>
      <c r="AJ12" s="334" t="str">
        <f>IF(ISNUMBER(Datos!EN12),Datos!EN12," - ")</f>
        <v xml:space="preserve"> - </v>
      </c>
      <c r="AK12" s="334"/>
      <c r="AL12" s="479"/>
      <c r="AM12" s="335">
        <f>IF(ISNUMBER(Datos!R12),Datos!R12," - ")</f>
        <v>2109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v>
      </c>
      <c r="BD12" s="229">
        <f>IF(ISNUMBER(Datos!N12),Datos!N12," - ")</f>
        <v>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0.51975683890577506</v>
      </c>
      <c r="BH12" s="260">
        <f>IF(ISNUMBER(((IF(J_V="SI",Datos!L12/Datos!K12,(Datos!L12+Datos!AB12)/(Datos!K12+Datos!AA12)))*11)/factor_trimestre),((IF(J_V="SI",Datos!L12/Datos!K12,(Datos!L12+Datos!AB12)/(Datos!K12+Datos!AA12)))*11)/factor_trimestre," - ")</f>
        <v>31.134502923976608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1.0057471264367816E-2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2</v>
      </c>
      <c r="F13" s="898">
        <f t="shared" si="0"/>
        <v>17</v>
      </c>
      <c r="G13" s="898">
        <f t="shared" si="0"/>
        <v>17</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51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27</v>
      </c>
      <c r="AD13" s="899">
        <f t="shared" si="1"/>
        <v>0</v>
      </c>
      <c r="AE13" s="899">
        <f t="shared" si="1"/>
        <v>0</v>
      </c>
      <c r="AF13" s="899">
        <f t="shared" si="1"/>
        <v>21</v>
      </c>
      <c r="AG13" s="899">
        <f t="shared" si="1"/>
        <v>0</v>
      </c>
      <c r="AH13" s="899">
        <f t="shared" si="1"/>
        <v>71</v>
      </c>
      <c r="AI13" s="899">
        <f t="shared" si="1"/>
        <v>0</v>
      </c>
      <c r="AJ13" s="899">
        <f t="shared" si="1"/>
        <v>0</v>
      </c>
      <c r="AK13" s="899">
        <f t="shared" si="1"/>
        <v>0</v>
      </c>
      <c r="AL13" s="899">
        <f t="shared" si="1"/>
        <v>0</v>
      </c>
      <c r="AM13" s="899">
        <f t="shared" si="1"/>
        <v>2118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55</v>
      </c>
      <c r="BD13" s="899">
        <f t="shared" si="1"/>
        <v>50</v>
      </c>
      <c r="BE13" s="899">
        <f t="shared" si="1"/>
        <v>0</v>
      </c>
      <c r="BF13" s="899">
        <f t="shared" si="1"/>
        <v>0</v>
      </c>
      <c r="BG13" s="899">
        <f>IF(ISNUMBER(Datos!K13/Datos!J13),Datos!K13/Datos!J13," - ")</f>
        <v>0.52959501557632394</v>
      </c>
      <c r="BH13" s="903">
        <f>IF(ISNUMBER(((Datos!L13/Datos!K13)*11)/factor_trimestre),((Datos!L13/Datos!K13)*11)/factor_trimestre," - ")</f>
        <v>30.729411764705887</v>
      </c>
      <c r="BI13" s="899">
        <f>IF(ISNUMBER('Resol  Asuntos'!D13/NºAsuntos!G13),'Resol  Asuntos'!D13/NºAsuntos!G13," - ")</f>
        <v>0.31791907514450868</v>
      </c>
      <c r="BJ13" s="899" t="str">
        <f>IF(ISNUMBER(Datos!CI13/Datos!CJ13),Datos!CI13/Datos!CJ13," - ")</f>
        <v xml:space="preserve"> - </v>
      </c>
      <c r="BK13" s="899">
        <f>SUBTOTAL(9,BK8:BK12)</f>
        <v>0</v>
      </c>
      <c r="BL13" s="899">
        <f>IF(ISNUMBER((I13-AB13+L13)/(F13)),(I13-AB13+L13)/(F13)," - ")</f>
        <v>-0.11764705882352941</v>
      </c>
      <c r="BM13" s="904">
        <f>SUBTOTAL(9,BM9:BM12)</f>
        <v>0.51005747126436785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1089</v>
      </c>
      <c r="G16" s="598">
        <f>IF(ISNUMBER(IF(D_I="SI",Datos!I16,Datos!I16+Datos!AC16)),IF(D_I="SI",Datos!I16,Datos!I16+Datos!AC16)," - ")</f>
        <v>1089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148</v>
      </c>
      <c r="AC16" s="226">
        <f>IF(ISNUMBER(Datos!Q16),Datos!Q16," - ")</f>
        <v>0</v>
      </c>
      <c r="AD16" s="334"/>
      <c r="AE16" s="484"/>
      <c r="AF16" s="596">
        <f>IF(ISNUMBER(IF(D_I="SI",Datos!L16,Datos!L16+Datos!AF16)),IF(D_I="SI",Datos!L16,Datos!L16+Datos!AF16)," - ")</f>
        <v>1222</v>
      </c>
      <c r="AG16" s="334"/>
      <c r="AH16" s="334"/>
      <c r="AI16" s="334"/>
      <c r="AJ16" s="334"/>
      <c r="AK16" s="334"/>
      <c r="AL16" s="479"/>
      <c r="AM16" s="335">
        <f>IF(ISNUMBER(Datos!R16),Datos!R16," - ")</f>
        <v>92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70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0.5266903914590747</v>
      </c>
      <c r="BH16" s="260">
        <f>IF(ISNUMBER(((IF(D_I="SI",Datos!L16/Datos!K16,(Datos!L16+Datos!AF16)/(Datos!K16+Datos!AE16)))*11)/factor_trimestre),((IF(D_I="SI",Datos!L16/Datos!K16,(Datos!L16+Datos!AF16)/(Datos!K16+Datos!AE16)))*11)/factor_trimestre," - ")</f>
        <v>16.513513513513512</v>
      </c>
      <c r="BI16" s="243">
        <f>IF(ISNUMBER('Resol  Asuntos'!D16/NºAsuntos!G16),'Resol  Asuntos'!D16/NºAsuntos!G16," - ")</f>
        <v>0.18243243243243243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v>
      </c>
      <c r="AC17" s="226">
        <f>IF(ISNUMBER(Datos!Q17),Datos!Q17," - ")</f>
        <v>0</v>
      </c>
      <c r="AD17" s="334"/>
      <c r="AE17" s="484"/>
      <c r="AF17" s="332">
        <f>IF(ISNUMBER(Datos!L17),Datos!L17,"-")</f>
        <v>51</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0.75555555555555554</v>
      </c>
      <c r="BH17" s="260">
        <f>IF(ISNUMBER(((IF(D_I="SI",Datos!L17/Datos!K17,(Datos!L17+Datos!AF17)/(Datos!K17+Datos!AE17)))*11)/factor_trimestre),((IF(D_I="SI",Datos!L17/Datos!K17,(Datos!L17+Datos!AF17)/(Datos!K17+Datos!AE17)))*11)/factor_trimestre," - ")</f>
        <v>3</v>
      </c>
      <c r="BI17" s="243">
        <f>IF(ISNUMBER('Resol  Asuntos'!D17/NºAsuntos!G17),'Resol  Asuntos'!D17/NºAsuntos!G17," - ")</f>
        <v>5.8823529411764705E-2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2</v>
      </c>
      <c r="F18" s="898">
        <f>SUBTOTAL(9,F15:F17)</f>
        <v>1089</v>
      </c>
      <c r="G18" s="898">
        <f>SUBTOTAL(9,G15:G17)</f>
        <v>1129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182</v>
      </c>
      <c r="AC18" s="899">
        <f t="shared" si="4"/>
        <v>0</v>
      </c>
      <c r="AD18" s="899">
        <f t="shared" si="4"/>
        <v>0</v>
      </c>
      <c r="AE18" s="899">
        <f t="shared" si="4"/>
        <v>0</v>
      </c>
      <c r="AF18" s="899">
        <f t="shared" si="4"/>
        <v>1273</v>
      </c>
      <c r="AG18" s="899">
        <f t="shared" si="4"/>
        <v>0</v>
      </c>
      <c r="AH18" s="899">
        <f t="shared" si="4"/>
        <v>0</v>
      </c>
      <c r="AI18" s="899">
        <f t="shared" si="4"/>
        <v>0</v>
      </c>
      <c r="AJ18" s="899">
        <f t="shared" si="4"/>
        <v>0</v>
      </c>
      <c r="AK18" s="899">
        <f t="shared" si="4"/>
        <v>0</v>
      </c>
      <c r="AL18" s="899">
        <f t="shared" si="4"/>
        <v>0</v>
      </c>
      <c r="AM18" s="899">
        <f t="shared" si="4"/>
        <v>102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v>
      </c>
      <c r="BD18" s="899">
        <f t="shared" si="4"/>
        <v>90</v>
      </c>
      <c r="BE18" s="899">
        <f t="shared" si="4"/>
        <v>0</v>
      </c>
      <c r="BF18" s="899">
        <f t="shared" si="4"/>
        <v>0</v>
      </c>
      <c r="BG18" s="899">
        <f>IF(ISNUMBER(Datos!K18/Datos!J18),Datos!K18/Datos!J18," - ")</f>
        <v>0.55828220858895705</v>
      </c>
      <c r="BH18" s="903">
        <f>IF(ISNUMBER(((Datos!L18/Datos!K18)*11)/factor_trimestre),((Datos!L18/Datos!K18)*11)/factor_trimestre," - ")</f>
        <v>13.989010989010989</v>
      </c>
      <c r="BI18" s="899">
        <f>SUBTOTAL(9,BI15:BI17)</f>
        <v>0.24125596184419712</v>
      </c>
      <c r="BJ18" s="899">
        <f>SUBTOTAL(9,BJ15:BJ17)</f>
        <v>0</v>
      </c>
      <c r="BK18" s="899">
        <f>SUBTOTAL(9,BK15:BK17)</f>
        <v>0</v>
      </c>
      <c r="BL18" s="899">
        <f>IF(ISNUMBER((I18-AB18+L18)/(F18)),(I18-AB18+L18)/(F18)," - ")</f>
        <v>-0.16712580348943984</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4</v>
      </c>
      <c r="F19" s="820">
        <f t="shared" si="6"/>
        <v>1106</v>
      </c>
      <c r="G19" s="820">
        <f t="shared" si="6"/>
        <v>1146</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184</v>
      </c>
      <c r="AC19" s="821">
        <f t="shared" si="7"/>
        <v>27</v>
      </c>
      <c r="AD19" s="821">
        <f t="shared" si="7"/>
        <v>0</v>
      </c>
      <c r="AE19" s="821">
        <f t="shared" si="7"/>
        <v>0</v>
      </c>
      <c r="AF19" s="828">
        <f t="shared" si="7"/>
        <v>1294</v>
      </c>
      <c r="AG19" s="828">
        <f t="shared" si="7"/>
        <v>0</v>
      </c>
      <c r="AH19" s="828">
        <f t="shared" si="7"/>
        <v>71</v>
      </c>
      <c r="AI19" s="828">
        <f t="shared" si="7"/>
        <v>0</v>
      </c>
      <c r="AJ19" s="821">
        <f t="shared" si="7"/>
        <v>0</v>
      </c>
      <c r="AK19" s="828">
        <f t="shared" si="7"/>
        <v>0</v>
      </c>
      <c r="AL19" s="828">
        <f t="shared" si="7"/>
        <v>0</v>
      </c>
      <c r="AM19" s="828">
        <f t="shared" si="7"/>
        <v>2220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84</v>
      </c>
      <c r="BD19" s="820">
        <f t="shared" si="7"/>
        <v>140</v>
      </c>
      <c r="BE19" s="820">
        <f t="shared" si="7"/>
        <v>0</v>
      </c>
      <c r="BF19" s="830">
        <f t="shared" si="7"/>
        <v>0</v>
      </c>
      <c r="BG19" s="915">
        <f>IF(ISNUMBER(Datos!K19/Datos!J19),Datos!K19/Datos!J19," - ")</f>
        <v>0.54404945904173108</v>
      </c>
      <c r="BH19" s="915">
        <f>IF(ISNUMBER(((Datos!L19/Datos!K19)*11)/factor_trimestre),((Datos!L19/Datos!K19)*11)/factor_trimestre," - ")</f>
        <v>22.073863636363637</v>
      </c>
      <c r="BI19" s="813">
        <f>IF(ISNUMBER(Datos!J19/Datos!I19),Datos!J19/Datos!I19," - ")</f>
        <v>0.18022284122562673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-0.16636528028933092</v>
      </c>
      <c r="BM19" s="889">
        <f>IF(ISNUMBER((Datos!P19-Datos!Q19+R19)/(Datos!R19-Datos!P19+Datos!Q19-R19)),(Datos!P19-Datos!Q19+R19)/(Datos!R19-Datos!P19+Datos!Q19-R19)," - ")</f>
        <v>1.092896174863388E-2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618.91948857127875</v>
      </c>
      <c r="G21" s="552">
        <f>IF(ISNUMBER(STDEV(G8:G18)),STDEV(G8:G18),"-")</f>
        <v>594.15637672249215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85.304161680424485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23.272301132462172</v>
      </c>
      <c r="BD21" s="551"/>
      <c r="BE21" s="551">
        <f>IF(ISNUMBER(STDEV(BE8:BE18)),STDEV(BE8:BE18),"-")</f>
        <v>0</v>
      </c>
      <c r="BF21" s="556">
        <f>IF(ISNUMBER(STDEV(BF8:BF18)),STDEV(BF8:BF18),"-")</f>
        <v>0</v>
      </c>
      <c r="BG21" s="775">
        <f>IF(ISNUMBER(STDEV(BG8:BG18)),STDEV(BG8:BG18),"-")</f>
        <v>0.13428162751306935</v>
      </c>
      <c r="BH21" s="776">
        <f>IF(ISNUMBER(STDEV(BH8:BH18)),STDEV(BH8:BH18),"-")</f>
        <v>10.725526079400206</v>
      </c>
      <c r="BI21" s="249">
        <f>IF(ISNUMBER(STDEV(BI8:BI18)),STDEV(BI8:BI18),"-")</f>
        <v>0.10931046230594686</v>
      </c>
      <c r="BJ21" s="230" t="str">
        <f>IF(ISNUMBER(BL21/BM21),BL21/BM21," - ")</f>
        <v xml:space="preserve"> - </v>
      </c>
      <c r="BK21" s="575"/>
      <c r="BL21" s="559">
        <f>IF(ISNUMBER(STDEV(BL8:BL18)),STDEV(BL8:BL18),"-")</f>
        <v>3.4986755877862888E-2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ZIKa8brq964BA9indiHpTShLKEhu+By5LasytcHLxynTlFenjb7N2+IvIVzWoC9DMlymATOmBVkkuumERxXVKw==" saltValue="cCSw3zzwUL3OkJRr30ne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MOTILLA DEL PALANCAR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17</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21</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v>
      </c>
      <c r="AA12" s="332" t="str">
        <f>IF(ISNUMBER(IF(J_V="SI",Datos!L12,Datos!L12+Datos!AB12)-IF(Monitorios="SI",Datos!CD12,0)),
                          IF(J_V="SI",Datos!L12,Datos!L12+Datos!AB12)-IF(Monitorios="SI",Datos!CD12,0),
                          " - ")</f>
        <v xml:space="preserve"> - </v>
      </c>
      <c r="AB12" s="334"/>
      <c r="AC12" s="334"/>
      <c r="AD12" s="484"/>
      <c r="AE12" s="484">
        <f>IF(ISNUMBER(Datos!R12),Datos!R12," - ")</f>
        <v>2109</v>
      </c>
      <c r="AF12" s="229" t="str">
        <f>IF(ISNUMBER(Datos!BV12),Datos!BV12," - ")</f>
        <v xml:space="preserve"> - </v>
      </c>
      <c r="AG12" s="225" t="str">
        <f>IF(ISNUMBER(Datos!DV12),Datos!DV12," - ")</f>
        <v xml:space="preserve"> - </v>
      </c>
      <c r="AH12" s="298"/>
      <c r="AI12" s="227"/>
      <c r="AJ12" s="225">
        <f>IF(ISNUMBER(Datos!M12),Datos!M12," - ")</f>
        <v>53</v>
      </c>
      <c r="AK12" s="229">
        <f>IF(ISNUMBER(Datos!N12),Datos!N12," - ")</f>
        <v>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31.134502923976608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1.0057471264367816E-2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2</v>
      </c>
      <c r="F13" s="898">
        <f>SUBTOTAL(9,F8:F12)</f>
        <v>17</v>
      </c>
      <c r="G13" s="898">
        <f>SUBTOTAL(9,G8:G12)</f>
        <v>17</v>
      </c>
      <c r="H13" s="908"/>
      <c r="I13" s="898">
        <f t="shared" ref="I13:N13" si="0">SUBTOTAL(9,I8:I12)</f>
        <v>0</v>
      </c>
      <c r="J13" s="867">
        <f t="shared" si="0"/>
        <v>0</v>
      </c>
      <c r="K13" s="908">
        <f t="shared" si="0"/>
        <v>0</v>
      </c>
      <c r="L13" s="908">
        <f t="shared" si="0"/>
        <v>0</v>
      </c>
      <c r="M13" s="908">
        <f t="shared" si="0"/>
        <v>0</v>
      </c>
      <c r="N13" s="908">
        <f t="shared" si="0"/>
        <v>51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27</v>
      </c>
      <c r="AA13" s="900">
        <f t="shared" si="2"/>
        <v>21</v>
      </c>
      <c r="AB13" s="900">
        <f t="shared" si="2"/>
        <v>0</v>
      </c>
      <c r="AC13" s="900">
        <f t="shared" si="2"/>
        <v>0</v>
      </c>
      <c r="AD13" s="900">
        <f t="shared" si="2"/>
        <v>0</v>
      </c>
      <c r="AE13" s="900">
        <f t="shared" si="2"/>
        <v>2118</v>
      </c>
      <c r="AF13" s="908">
        <f t="shared" si="2"/>
        <v>0</v>
      </c>
      <c r="AG13" s="908">
        <f t="shared" si="2"/>
        <v>0</v>
      </c>
      <c r="AH13" s="908">
        <f t="shared" si="2"/>
        <v>0</v>
      </c>
      <c r="AI13" s="908">
        <f t="shared" si="2"/>
        <v>0</v>
      </c>
      <c r="AJ13" s="908">
        <f t="shared" si="2"/>
        <v>55</v>
      </c>
      <c r="AK13" s="908">
        <f t="shared" si="2"/>
        <v>50</v>
      </c>
      <c r="AL13" s="908">
        <f t="shared" si="2"/>
        <v>0</v>
      </c>
      <c r="AM13" s="908">
        <f t="shared" si="2"/>
        <v>0</v>
      </c>
      <c r="AN13" s="908">
        <f t="shared" si="2"/>
        <v>0</v>
      </c>
      <c r="AO13" s="904">
        <f>IF(ISNUMBER(((NºAsuntos!I13/NºAsuntos!G13)*11)/factor_trimestre),((NºAsuntos!I13/NºAsuntos!G13)*11)/factor_trimestre," - ")</f>
        <v>31.017341040462426</v>
      </c>
      <c r="AP13" s="910" t="str">
        <f>IF(ISNUMBER(Datos!CI13/Datos!CJ13),Datos!CI13/Datos!CJ13," - ")</f>
        <v xml:space="preserve"> - </v>
      </c>
      <c r="AQ13" s="928">
        <f t="shared" ref="AQ13:AV13" si="3">SUBTOTAL(9,AQ9:AQ12)</f>
        <v>0</v>
      </c>
      <c r="AR13" s="928">
        <f t="shared" si="3"/>
        <v>0.51005747126436785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1089</v>
      </c>
      <c r="G16" s="225">
        <f>IF(ISNUMBER(IF(D_I="SI",Datos!I16,Datos!I16+Datos!AC16)),IF(D_I="SI",Datos!I16,Datos!I16+Datos!AC16)," - ")</f>
        <v>1089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148</v>
      </c>
      <c r="Z16" s="619">
        <f>IF(ISNUMBER(Datos!Q16),Datos!Q16," - ")</f>
        <v>0</v>
      </c>
      <c r="AA16" s="332">
        <f>IF(ISNUMBER(IF(D_I="SI",Datos!L16,Datos!L16+Datos!AF16)),IF(D_I="SI",Datos!L16,Datos!L16+Datos!AF16)," - ")</f>
        <v>1222</v>
      </c>
      <c r="AB16" s="334"/>
      <c r="AC16" s="334"/>
      <c r="AD16" s="484"/>
      <c r="AE16" s="484">
        <f>IF(ISNUMBER(Datos!R16),Datos!R16," - ")</f>
        <v>92</v>
      </c>
      <c r="AF16" s="229" t="str">
        <f>IF(ISNUMBER(Datos!BV16),Datos!BV16," - ")</f>
        <v xml:space="preserve"> - </v>
      </c>
      <c r="AG16" s="225"/>
      <c r="AH16" s="298"/>
      <c r="AI16" s="227"/>
      <c r="AJ16" s="225">
        <f>IF(ISNUMBER(Datos!M16),Datos!M16," - ")</f>
        <v>27</v>
      </c>
      <c r="AK16" s="229">
        <f>IF(ISNUMBER(Datos!N16),Datos!N16," - ")</f>
        <v>70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16.513513513513512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v>
      </c>
      <c r="Z17" s="619">
        <f>IF(ISNUMBER(Datos!Q17),Datos!Q17," - ")</f>
        <v>0</v>
      </c>
      <c r="AA17" s="332">
        <f>IF(ISNUMBER(Datos!L17),Datos!L17,"-")</f>
        <v>51</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2</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2</v>
      </c>
      <c r="F18" s="898">
        <f>SUBTOTAL(9,F15:F17)</f>
        <v>1089</v>
      </c>
      <c r="G18" s="898">
        <f>SUBTOTAL(9,G15:G17)</f>
        <v>1129</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182</v>
      </c>
      <c r="Z18" s="932">
        <f t="shared" si="5"/>
        <v>0</v>
      </c>
      <c r="AA18" s="932">
        <f t="shared" si="5"/>
        <v>1273</v>
      </c>
      <c r="AB18" s="932">
        <f t="shared" si="5"/>
        <v>0</v>
      </c>
      <c r="AC18" s="932">
        <f t="shared" si="5"/>
        <v>0</v>
      </c>
      <c r="AD18" s="932">
        <f t="shared" si="5"/>
        <v>0</v>
      </c>
      <c r="AE18" s="932">
        <f t="shared" si="5"/>
        <v>102</v>
      </c>
      <c r="AF18" s="932">
        <f t="shared" si="5"/>
        <v>0</v>
      </c>
      <c r="AG18" s="932">
        <f t="shared" si="5"/>
        <v>0</v>
      </c>
      <c r="AH18" s="932">
        <f t="shared" si="5"/>
        <v>0</v>
      </c>
      <c r="AI18" s="932">
        <f t="shared" si="5"/>
        <v>0</v>
      </c>
      <c r="AJ18" s="932">
        <f t="shared" si="5"/>
        <v>29</v>
      </c>
      <c r="AK18" s="932">
        <f t="shared" si="5"/>
        <v>90</v>
      </c>
      <c r="AL18" s="932">
        <f t="shared" si="5"/>
        <v>0</v>
      </c>
      <c r="AM18" s="932">
        <f t="shared" si="5"/>
        <v>0</v>
      </c>
      <c r="AN18" s="932">
        <f t="shared" si="5"/>
        <v>0</v>
      </c>
      <c r="AO18" s="934">
        <f>IF(ISNUMBER(((NºAsuntos!I18/NºAsuntos!G18)*11)/factor_trimestre),((NºAsuntos!I18/NºAsuntos!G18)*11)/factor_trimestre," - ")</f>
        <v>13.989010989010989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1106</v>
      </c>
      <c r="G19" s="820">
        <f t="shared" si="7"/>
        <v>1146</v>
      </c>
      <c r="H19" s="821">
        <f t="shared" si="7"/>
        <v>0</v>
      </c>
      <c r="I19" s="820">
        <f t="shared" si="7"/>
        <v>0</v>
      </c>
      <c r="J19" s="822">
        <f t="shared" si="7"/>
        <v>0</v>
      </c>
      <c r="K19" s="820">
        <f t="shared" si="7"/>
        <v>0</v>
      </c>
      <c r="L19" s="823">
        <f t="shared" si="7"/>
        <v>0</v>
      </c>
      <c r="M19" s="820">
        <f t="shared" si="7"/>
        <v>0</v>
      </c>
      <c r="N19" s="821">
        <f t="shared" si="7"/>
        <v>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184</v>
      </c>
      <c r="Z19" s="827">
        <f t="shared" si="8"/>
        <v>27</v>
      </c>
      <c r="AA19" s="828">
        <f t="shared" si="8"/>
        <v>1294</v>
      </c>
      <c r="AB19" s="828">
        <f t="shared" si="8"/>
        <v>0</v>
      </c>
      <c r="AC19" s="828">
        <f t="shared" si="8"/>
        <v>0</v>
      </c>
      <c r="AD19" s="829">
        <f t="shared" si="8"/>
        <v>0</v>
      </c>
      <c r="AE19" s="829">
        <f t="shared" si="8"/>
        <v>2220</v>
      </c>
      <c r="AF19" s="830">
        <f t="shared" si="8"/>
        <v>0</v>
      </c>
      <c r="AG19" s="831">
        <f t="shared" si="8"/>
        <v>0</v>
      </c>
      <c r="AH19" s="832">
        <f t="shared" si="8"/>
        <v>0</v>
      </c>
      <c r="AI19" s="830">
        <f t="shared" si="8"/>
        <v>0</v>
      </c>
      <c r="AJ19" s="820">
        <f t="shared" si="8"/>
        <v>84</v>
      </c>
      <c r="AK19" s="820">
        <f t="shared" si="8"/>
        <v>140</v>
      </c>
      <c r="AL19" s="820">
        <f t="shared" si="8"/>
        <v>0</v>
      </c>
      <c r="AM19" s="833">
        <f t="shared" si="8"/>
        <v>0</v>
      </c>
      <c r="AN19" s="823">
        <f>IF(ISNUMBER(Datos!K19/Datos!J19),Datos!K19/Datos!J19," - ")</f>
        <v>0.54404945904173108</v>
      </c>
      <c r="AO19" s="823">
        <f>IF(ISNUMBER(FIND("06",Criterios!A8,1)),(IF(ISNUMBER(((Datos!R19/Datos!Q19)*11)/factor_trimestre),((Datos!R19/Datos!Q19)*11)/factor_trimestre," - ")),(IF(ISNUMBER(((Datos!L19/Datos!K19)*11)/factor_trimestre),((Datos!L19/Datos!K19)*11)/factor_trimestre," - ")))</f>
        <v>22.073863636363637</v>
      </c>
      <c r="AP19" s="834" t="str">
        <f>IF(ISNUMBER(Datos!CI19/Datos!CJ19),Datos!CI19/Datos!CJ19," - ")</f>
        <v xml:space="preserve"> - </v>
      </c>
      <c r="AQ19" s="834">
        <f>IF(OR(ISNUMBER(FIND("01",Criterios!A8,1)),ISNUMBER(FIND("02",Criterios!A8,1)),ISNUMBER(FIND("03",Criterios!A8,1)),ISNUMBER(FIND("04",Criterios!A8,1))),(J19-Y19+K19)/(F19-K19),(I19-Y19+K19)/(F19-K19))</f>
        <v>-0.16636528028933092</v>
      </c>
      <c r="AR19" s="834">
        <f>IF(ISNUMBER((Datos!P19-Datos!Q19+O19)/(Datos!R19-Datos!P19+Datos!Q19-O19)),(Datos!P19-Datos!Q19+O19)/(Datos!R19-Datos!P19+Datos!Q19-O19)," - ")</f>
        <v>1.092896174863388E-2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618.91948857127875</v>
      </c>
      <c r="G21" s="552">
        <f>IF(ISNUMBER(STDEV(G8:G18)),STDEV(G8:G18),"-")</f>
        <v>594.15637672249215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23.272301132462172</v>
      </c>
      <c r="AK21" s="252"/>
      <c r="AL21" s="252">
        <f>IF(ISNUMBER(STDEV(AL8:AL18)),STDEV(AL8:AL18),"-")</f>
        <v>0</v>
      </c>
      <c r="AM21" s="254">
        <f>IF(ISNUMBER(STDEV(AM8:AM18)),STDEV(AM8:AM18),"-")</f>
        <v>0</v>
      </c>
      <c r="AN21" s="539">
        <f>IF(ISNUMBER(STDEV(AN8:AN18)),STDEV(AN8:AN18),"-")</f>
        <v>0</v>
      </c>
      <c r="AO21" s="540">
        <f>IF(ISNUMBER(STDEV(AO8:AO18)),STDEV(AO8:AO18),"-")</f>
        <v>10.786853054999648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BWqETSif+/Q+qMEBY7lIWxMbR4EiKNxZXWr2b4PFbRMM2A461cWpGUd+AJsJ+e1VfNH5bJTw4Hl7usMAKrM+yA==" saltValue="XMTNTeyZQvy4xn+Z+3G3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AWGuBCuKkJwMpS/4CWTnNuILsKdaHPZa44GmB4H8jdbSDDkS6p5xsk0J2l3qDrKbq0BGAWfAR4Qw+//0y6Tpw==" saltValue="yMtVouiXIhORYcF7/hTu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YxmKNJyf9LqJbgLTcyUzY+9WxSsMYOkEcQ9PcAA0K3Ubeiy+PmZpb9g3IOAtKKjQzW6PZrwvQMbvfteS359sg==" saltValue="pDpXgkp6Llo3uyQCJucdU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MOTILLA DEL PALANCAR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0.31791907514450868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0.22480273390323766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O1utKON17bv0eIpaV3xzZJg/9Kp3+aFFkc+HD7iWN15McxnG0WXc8D3Oqo+argTpq15xjJE9oveOgyq/lEMF9A==" saltValue="g+UGsLpEBuZ5X8Odk0vk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1mNrha46gBk4bA8NbYtmqS4D85b0yTy0qLa0v5UbmgJ/pKrNF7wYQcUCOWVJUTbDkzMmn4HIEiVqGG1KHfh/w==" saltValue="LKrQV9jCB1kCeyVI/IU8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MOTILLA DEL PALANCAR</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v>
      </c>
      <c r="D10" s="404">
        <f>IF(ISNUMBER(C10/Datos!BH10),C10/Datos!BH10," - ")</f>
        <v>17</v>
      </c>
      <c r="E10" s="403">
        <f>IF(ISNUMBER(Datos!J10),Datos!J10," - ")</f>
        <v>6</v>
      </c>
      <c r="F10" s="404">
        <f>IF(ISNUMBER(E10/B10),E10/B10," - ")</f>
        <v>6</v>
      </c>
      <c r="G10" s="403">
        <f>IF(ISNUMBER(Datos!K10),Datos!K10," - ")</f>
        <v>2</v>
      </c>
      <c r="H10" s="404">
        <f>IF(ISNUMBER(G10/B10),G10/B10," - ")</f>
        <v>2</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2504</v>
      </c>
      <c r="D12" s="404">
        <f>IF(ISNUMBER(C12/Datos!BH12),C12/Datos!BH12," - ")</f>
        <v>1252</v>
      </c>
      <c r="E12" s="403">
        <f>IF(ISNUMBER(IF(J_V="SI",Datos!J12,Datos!J12+Datos!Z12)),IF(J_V="SI",Datos!J12,Datos!J12+Datos!Z12)," - ")</f>
        <v>329</v>
      </c>
      <c r="F12" s="404">
        <f>IF(ISNUMBER(E12/B12),E12/B12," - ")</f>
        <v>164.5</v>
      </c>
      <c r="G12" s="403">
        <f>IF(ISNUMBER(IF(J_V="SI",Datos!K12,Datos!K12+Datos!AA12)),IF(J_V="SI",Datos!K12,Datos!K12+Datos!AA12)," - ")</f>
        <v>171</v>
      </c>
      <c r="H12" s="404">
        <f>IF(ISNUMBER(G12/B12),G12/B12," - ")</f>
        <v>85.5</v>
      </c>
      <c r="I12" s="403">
        <f>IF(ISNUMBER(IF(J_V="SI",Datos!L12,Datos!L12+Datos!AB12)),IF(J_V="SI",Datos!L12,Datos!L12+Datos!AB12)," - ")</f>
        <v>2662</v>
      </c>
      <c r="J12" s="404">
        <f>IF(ISNUMBER(I12/B12),I12/B12," - ")</f>
        <v>1331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2521</v>
      </c>
      <c r="D13" s="850" t="str">
        <f>IF(ISNUMBER(C13/Datos!BI13),C13/Datos!BI13," - ")</f>
        <v xml:space="preserve"> - </v>
      </c>
      <c r="E13" s="849">
        <f>SUBTOTAL(9,E8:E12)</f>
        <v>335</v>
      </c>
      <c r="F13" s="850">
        <f>IF(ISNUMBER(E13/B13),E13/B13," - ")</f>
        <v>167.5</v>
      </c>
      <c r="G13" s="849">
        <f>SUBTOTAL(9,G8:G12)</f>
        <v>173</v>
      </c>
      <c r="H13" s="850">
        <f>IF(ISNUMBER(G13/B13),G13/B13," - ")</f>
        <v>86.5</v>
      </c>
      <c r="I13" s="849">
        <f>SUBTOTAL(9,I8:I12)</f>
        <v>2683</v>
      </c>
      <c r="J13" s="850">
        <f>IF(ISNUMBER(I13/B13),I13/B13," - ")</f>
        <v>1341.5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1089</v>
      </c>
      <c r="D16" s="404">
        <f>IF(ISNUMBER(C16/Datos!BH16),C16/Datos!BH16," - ")</f>
        <v>544.5</v>
      </c>
      <c r="E16" s="403">
        <f>IF(ISNUMBER(IF(D_I="SI",Datos!J16,Datos!J16+Datos!AD16)),IF(D_I="SI",Datos!J16,Datos!J16+Datos!AD16)," - ")</f>
        <v>281</v>
      </c>
      <c r="F16" s="404">
        <f>IF(ISNUMBER(E16/B16),E16/B16," - ")</f>
        <v>140.5</v>
      </c>
      <c r="G16" s="403">
        <f>IF(ISNUMBER(IF(D_I="SI",Datos!K16,Datos!K16+Datos!AE16)),IF(D_I="SI",Datos!K16,Datos!K16+Datos!AE16)," - ")</f>
        <v>148</v>
      </c>
      <c r="H16" s="404">
        <f>IF(ISNUMBER(G16/B16),G16/B16," - ")</f>
        <v>74</v>
      </c>
      <c r="I16" s="403">
        <f>IF(ISNUMBER(IF(D_I="SI",Datos!L16,Datos!L16+Datos!AF16)),IF(D_I="SI",Datos!L16,Datos!L16+Datos!AF16)," - ")</f>
        <v>1222</v>
      </c>
      <c r="J16" s="404">
        <f>IF(ISNUMBER(I16/B16),I16/B16," - ")</f>
        <v>611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40</v>
      </c>
      <c r="D17" s="404">
        <f>IF(ISNUMBER(C17/Datos!BH17),C17/Datos!BH17," - ")</f>
        <v>40</v>
      </c>
      <c r="E17" s="403">
        <f>IF(ISNUMBER(IF(D_I="SI",Datos!J17,Datos!J17+Datos!AD17)),IF(D_I="SI",Datos!J17,Datos!J17+Datos!AD17)," - ")</f>
        <v>45</v>
      </c>
      <c r="F17" s="404">
        <f>IF(ISNUMBER(E17/B17),E17/B17," - ")</f>
        <v>45</v>
      </c>
      <c r="G17" s="403">
        <f>IF(ISNUMBER(IF(D_I="SI",Datos!K17,Datos!K17+Datos!AE17)),IF(D_I="SI",Datos!K17,Datos!K17+Datos!AE17)," - ")</f>
        <v>34</v>
      </c>
      <c r="H17" s="404">
        <f>IF(ISNUMBER(G17/B17),G17/B17," - ")</f>
        <v>34</v>
      </c>
      <c r="I17" s="403">
        <f>IF(ISNUMBER(IF(D_I="SI",Datos!L17,Datos!L17+Datos!AF17)),IF(D_I="SI",Datos!L17,Datos!L17+Datos!AF17)," - ")</f>
        <v>51</v>
      </c>
      <c r="J17" s="404">
        <f>IF(ISNUMBER(I17/B17),I17/B17," - ")</f>
        <v>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1129</v>
      </c>
      <c r="D18" s="850" t="str">
        <f>IF(ISNUMBER(C18/Datos!BI18),C18/Datos!BI18," - ")</f>
        <v xml:space="preserve"> - </v>
      </c>
      <c r="E18" s="849">
        <f>SUBTOTAL(9,E14:E17)</f>
        <v>326</v>
      </c>
      <c r="F18" s="850">
        <f>IF(ISNUMBER(E18/B18),E18/B18," - ")</f>
        <v>163</v>
      </c>
      <c r="G18" s="849">
        <f>SUBTOTAL(9,G14:G17)</f>
        <v>182</v>
      </c>
      <c r="H18" s="850">
        <f>IF(ISNUMBER(G18/B18),G18/B18," - ")</f>
        <v>91</v>
      </c>
      <c r="I18" s="849">
        <f>SUBTOTAL(9,I14:I17)</f>
        <v>1273</v>
      </c>
      <c r="J18" s="850">
        <f>IF(ISNUMBER(I18/B18),I18/B18," - ")</f>
        <v>636.5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3650</v>
      </c>
      <c r="D19" s="795" t="str">
        <f>IF(ISNUMBER(C19/Datos!BI19),C19/Datos!BI19," - ")</f>
        <v xml:space="preserve"> - </v>
      </c>
      <c r="E19" s="794">
        <f>SUBTOTAL(9,E9:E18)</f>
        <v>661</v>
      </c>
      <c r="F19" s="795">
        <f>IF(ISNUMBER(E19/B19),E19/B19," - ")</f>
        <v>330.5</v>
      </c>
      <c r="G19" s="794">
        <f>SUBTOTAL(9,G9:G18)</f>
        <v>355</v>
      </c>
      <c r="H19" s="795">
        <f>IF(ISNUMBER(G19/B19),G19/B19," - ")</f>
        <v>177.5</v>
      </c>
      <c r="I19" s="794">
        <f>SUBTOTAL(9,I9:I18)</f>
        <v>3956</v>
      </c>
      <c r="J19" s="795">
        <f>IF(ISNUMBER(I19/B19),I19/B19," - ")</f>
        <v>1978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UevKvPlOCdalyRN6YzcxI3GOCajZzVJ2euSSgyzEOm200ZdKsyk1U1gSWbgjOg3IOS+75IMfxT0hqghMVhA06g==" saltValue="Z4bJuIx9aUXZ/Skw3gSZ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MOTILLA DEL PALANCAR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17</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2109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v>
      </c>
      <c r="AM12" s="690">
        <f>IF(ISNUMBER(Datos!N12+DatosP!N16),Datos!N12+DatosP!N16," - ")</f>
        <v>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31.134502923976608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1.0057471264367816E-2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17</v>
      </c>
      <c r="G13" s="938">
        <f t="shared" si="0"/>
        <v>17</v>
      </c>
      <c r="H13" s="938">
        <f t="shared" si="0"/>
        <v>0</v>
      </c>
      <c r="I13" s="940">
        <f t="shared" si="0"/>
        <v>0</v>
      </c>
      <c r="J13" s="939">
        <f t="shared" si="0"/>
        <v>0</v>
      </c>
      <c r="K13" s="939">
        <f t="shared" si="0"/>
        <v>0</v>
      </c>
      <c r="L13" s="941">
        <f t="shared" si="0"/>
        <v>0</v>
      </c>
      <c r="M13" s="941">
        <f t="shared" si="0"/>
        <v>0</v>
      </c>
      <c r="N13" s="939">
        <f t="shared" si="0"/>
        <v>51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27</v>
      </c>
      <c r="AE13" s="939">
        <f t="shared" si="1"/>
        <v>0</v>
      </c>
      <c r="AF13" s="939">
        <f t="shared" si="1"/>
        <v>21</v>
      </c>
      <c r="AG13" s="939">
        <f t="shared" si="1"/>
        <v>0</v>
      </c>
      <c r="AH13" s="939">
        <f t="shared" si="1"/>
        <v>2109</v>
      </c>
      <c r="AI13" s="939">
        <f t="shared" si="1"/>
        <v>0</v>
      </c>
      <c r="AJ13" s="939">
        <f t="shared" si="1"/>
        <v>0</v>
      </c>
      <c r="AK13" s="939">
        <f t="shared" si="1"/>
        <v>0</v>
      </c>
      <c r="AL13" s="939">
        <f t="shared" si="1"/>
        <v>55</v>
      </c>
      <c r="AM13" s="939">
        <f t="shared" si="1"/>
        <v>50</v>
      </c>
      <c r="AN13" s="939">
        <f t="shared" si="1"/>
        <v>0</v>
      </c>
      <c r="AO13" s="939">
        <f t="shared" si="1"/>
        <v>0</v>
      </c>
      <c r="AP13" s="944">
        <f>IF(ISNUMBER(((Datos!L13/Datos!K13)*11)/factor_trimestre),((Datos!L13/Datos!K13)*11)/factor_trimestre," - ")</f>
        <v>30.729411764705887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-0.11764705882352941</v>
      </c>
      <c r="AU13" s="939" t="str">
        <f>IF(ISNUMBER((DatosP!#REF!-DatosP!#REF!+DatosP!#REF!)/(DatosP!#REF!+DatosP!#REF!-DatosP!#REF!-DatosP!#REF!)),(DatosP!#REF!-DatosP!#REF!+DatosP!#REF!)/(DatosP!#REF!+DatosP!#REF!-DatosP!#REF!-DatosP!#REF!)," - ")</f>
        <v xml:space="preserve"> - </v>
      </c>
      <c r="AV13" s="945">
        <f>SUBTOTAL(9,AV9:AV12)</f>
        <v>1.0057471264367816E-2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13.989010989010989</v>
      </c>
      <c r="AQ18" s="944">
        <f>IF(ISNUMBER(((Datos!M18/Datos!L18)*11)/factor_trimestre),((Datos!M18/Datos!L18)*11)/factor_trimestre," - ")</f>
        <v>4.5561665357423412E-2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-9.0586145648312605E-2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17</v>
      </c>
      <c r="G19" s="951">
        <f t="shared" si="4"/>
        <v>17</v>
      </c>
      <c r="H19" s="951">
        <f t="shared" si="4"/>
        <v>0</v>
      </c>
      <c r="I19" s="952">
        <f t="shared" si="4"/>
        <v>0</v>
      </c>
      <c r="J19" s="953">
        <f t="shared" si="4"/>
        <v>0</v>
      </c>
      <c r="K19" s="953">
        <f t="shared" si="4"/>
        <v>0</v>
      </c>
      <c r="L19" s="953">
        <f t="shared" si="4"/>
        <v>0</v>
      </c>
      <c r="M19" s="953">
        <f t="shared" si="4"/>
        <v>0</v>
      </c>
      <c r="N19" s="952">
        <f t="shared" si="4"/>
        <v>51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27</v>
      </c>
      <c r="AE19" s="957">
        <f t="shared" si="5"/>
        <v>0</v>
      </c>
      <c r="AF19" s="958">
        <f t="shared" si="5"/>
        <v>21</v>
      </c>
      <c r="AG19" s="958">
        <f t="shared" si="5"/>
        <v>0</v>
      </c>
      <c r="AH19" s="958">
        <f t="shared" si="5"/>
        <v>2109</v>
      </c>
      <c r="AI19" s="958">
        <f t="shared" si="5"/>
        <v>0</v>
      </c>
      <c r="AJ19" s="959">
        <f t="shared" si="5"/>
        <v>0</v>
      </c>
      <c r="AK19" s="959">
        <f t="shared" si="5"/>
        <v>0</v>
      </c>
      <c r="AL19" s="951">
        <f t="shared" si="5"/>
        <v>55</v>
      </c>
      <c r="AM19" s="951">
        <f t="shared" si="5"/>
        <v>50</v>
      </c>
      <c r="AN19" s="951">
        <f t="shared" si="5"/>
        <v>0</v>
      </c>
      <c r="AO19" s="951">
        <f t="shared" si="5"/>
        <v>0</v>
      </c>
      <c r="AP19" s="951">
        <f>IF(ISNUMBER(((Datos!L19/Datos!K19)*11)/factor_trimestre),((Datos!L19/Datos!K19)*11)/factor_trimestre," - ")</f>
        <v>22.073863636363637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-0.11764705882352941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1.092896174863388E-2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9.8149545762236379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30.62134331910778</v>
      </c>
      <c r="AM21" s="736"/>
      <c r="AN21" s="736">
        <f>IF(ISNUMBER(STDEV(AN8:AN18)),STDEV(AN8:AN18),"-")</f>
        <v>0</v>
      </c>
      <c r="AO21" s="742">
        <f>IF(ISNUMBER(STDEV(AO8:AO18)),STDEV(AO8:AO18),"-")</f>
        <v>0</v>
      </c>
      <c r="AP21" s="779">
        <f>IF(ISNUMBER(STDEV(AP8:AP18)),STDEV(AP8:AP18),"-")</f>
        <v>8.2709158117751862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OPRUv8opVUZy7X83mhkZUOoA3IgnYDK0WJ3n6WXveBr8/8JnfTUXd5CVgfIlMK6c+T3yI4J1GAWN4j8KQAiNbA==" saltValue="quCtvmMwNjOARz+RpcM8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MOTILLA DEL PALANCAR</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JkNj6WejdFU1k5C6vf7QwNWmFB1JcFLVKq+VCOJxK4hTqDJ/e9Z7npvCVESdQURtWFc0gX8EYW3ZuBO1tZu+9w==" saltValue="7k0zdSh+KvDX6uhQiW6L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MOTILLA DEL PALANCAR</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53</v>
      </c>
      <c r="E12" s="404">
        <f t="shared" si="0"/>
        <v>26.5</v>
      </c>
      <c r="F12" s="403">
        <f>IF(ISNUMBER(Datos!N12),Datos!N12," - ")</f>
        <v>50</v>
      </c>
      <c r="G12" s="404">
        <f t="shared" si="1"/>
        <v>25</v>
      </c>
      <c r="H12" s="403">
        <f>IF(ISNUMBER(Datos!O12),Datos!O12," - ")</f>
        <v>86</v>
      </c>
      <c r="I12" s="404">
        <f t="shared" si="2"/>
        <v>43</v>
      </c>
      <c r="BZ12" s="1186">
        <f>Datos!EZ12</f>
        <v>0</v>
      </c>
    </row>
    <row r="13" spans="1:78" ht="14.25" thickTop="1" thickBot="1">
      <c r="A13" s="848" t="str">
        <f>Datos!A13</f>
        <v>TOTAL</v>
      </c>
      <c r="B13" s="849">
        <f>Datos!AP13</f>
        <v>2</v>
      </c>
      <c r="C13" s="851">
        <f>Datos!AR13</f>
        <v>2</v>
      </c>
      <c r="D13" s="849">
        <f>SUBTOTAL(9,D9:D12)</f>
        <v>55</v>
      </c>
      <c r="E13" s="850">
        <f t="shared" si="0"/>
        <v>27.5</v>
      </c>
      <c r="F13" s="849">
        <f>SUBTOTAL(9,F9:F12)</f>
        <v>50</v>
      </c>
      <c r="G13" s="850">
        <f t="shared" si="1"/>
        <v>25</v>
      </c>
      <c r="H13" s="849">
        <f>SUBTOTAL(9,H9:H12)</f>
        <v>86</v>
      </c>
      <c r="I13" s="850">
        <f>IF(ISNUMBER(H13/B13),H13/B13," - ")</f>
        <v>43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27</v>
      </c>
      <c r="E16" s="404">
        <f t="shared" si="3"/>
        <v>13.5</v>
      </c>
      <c r="F16" s="403">
        <f>IF(ISNUMBER(Datos!N16),Datos!N16," - ")</f>
        <v>70</v>
      </c>
      <c r="G16" s="404">
        <f t="shared" si="4"/>
        <v>35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20</v>
      </c>
      <c r="G17" s="404">
        <f>IF(ISNUMBER(F17/B17),F17/B17," - ")</f>
        <v>20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29</v>
      </c>
      <c r="E18" s="850">
        <f t="shared" si="3"/>
        <v>14.5</v>
      </c>
      <c r="F18" s="849">
        <f>SUBTOTAL(9,F15:F17)</f>
        <v>90</v>
      </c>
      <c r="G18" s="850">
        <f t="shared" si="4"/>
        <v>45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84</v>
      </c>
      <c r="E19" s="795">
        <f>IF(ISNUMBER(D19/B19),D19/B19," - ")</f>
        <v>42</v>
      </c>
      <c r="F19" s="794">
        <f>SUBTOTAL(9,F8:F18)</f>
        <v>140</v>
      </c>
      <c r="G19" s="795">
        <f>IF(ISNUMBER(F19/B19),F19/B19," - ")</f>
        <v>70</v>
      </c>
      <c r="H19" s="794">
        <f>SUBTOTAL(9,H8:H18)</f>
        <v>86</v>
      </c>
      <c r="I19" s="795">
        <f>IF(ISNUMBER(H19/B19),H19/B19," - ")</f>
        <v>43</v>
      </c>
    </row>
    <row r="22" spans="1:78">
      <c r="A22" s="391" t="str">
        <f>Criterios!A4</f>
        <v>Fecha Informe: 29 nov. 2024</v>
      </c>
    </row>
    <row r="27" spans="1:78">
      <c r="A27" s="414"/>
    </row>
  </sheetData>
  <sheetProtection algorithmName="SHA-512" hashValue="0PIoAGmpn1+ZvthdxjTURpUbO2lDwhQu/dcIlj3vlMqv5bN3xlCjk6OjUMB8LBSG6C+xQ8dW3YqkMTc3s3khFw==" saltValue="FG3tjTTv8I5g3e4KinXv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MOTILLA DEL PALANCAR</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48</v>
      </c>
      <c r="C12" s="434">
        <f>IF(ISNUMBER(Datos!Q12),Datos!Q12," - ")</f>
        <v>27</v>
      </c>
      <c r="D12" s="408">
        <f>IF(ISNUMBER(Datos!R12),Datos!R12," - ")</f>
        <v>2109</v>
      </c>
    </row>
    <row r="13" spans="1:4" ht="14.25" thickTop="1" thickBot="1">
      <c r="A13" s="848" t="str">
        <f>Datos!A13</f>
        <v>TOTAL</v>
      </c>
      <c r="B13" s="849">
        <f>SUBTOTAL(9,B9:B12)</f>
        <v>51</v>
      </c>
      <c r="C13" s="853">
        <f>SUBTOTAL(9,C9:C12)</f>
        <v>27</v>
      </c>
      <c r="D13" s="851">
        <f>SUBTOTAL(9,D9:D12)</f>
        <v>2118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92</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0</v>
      </c>
      <c r="C18" s="853">
        <f>SUBTOTAL(9,C15:C17)</f>
        <v>0</v>
      </c>
      <c r="D18" s="851">
        <f>SUBTOTAL(9,D15:D17)</f>
        <v>102</v>
      </c>
    </row>
    <row r="19" spans="1:4" ht="16.5" customHeight="1" thickTop="1" thickBot="1">
      <c r="A19" s="793" t="str">
        <f>Datos!A19</f>
        <v>TOTAL JURISDICCIONES</v>
      </c>
      <c r="B19" s="798">
        <f>SUBTOTAL(9,B8:B18)</f>
        <v>51</v>
      </c>
      <c r="C19" s="799">
        <f>SUBTOTAL(9,C8:C18)</f>
        <v>27</v>
      </c>
      <c r="D19" s="800">
        <f>SUBTOTAL(9,D8:D18)</f>
        <v>2220</v>
      </c>
    </row>
    <row r="20" spans="1:4" ht="7.5" customHeight="1"/>
    <row r="21" spans="1:4" ht="6" customHeight="1"/>
    <row r="22" spans="1:4">
      <c r="A22" s="391" t="str">
        <f>Criterios!A4</f>
        <v>Fecha Informe: 29 nov. 2024</v>
      </c>
    </row>
    <row r="27" spans="1:4">
      <c r="A27" s="414"/>
    </row>
  </sheetData>
  <sheetProtection algorithmName="SHA-512" hashValue="6ff+fRZsA6SY2/SsH8jBTziN9XownvXA9H6wjYzfP6C9sV70XReeuQLl++1I+FvATy2ZvjkN58FcTGJ1PPQ+0g==" saltValue="jksqaMTLWYAI6GkxD6cV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MOTILLA DEL PALANCAR</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0.41666666666666669</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0.75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0.33333333333333331</v>
      </c>
      <c r="C12" s="456">
        <f>IF(ISNUMBER(
   IF(J_V="SI",(Datos!J12-Datos!T12)/Datos!T12,(Datos!J12+Datos!Z12-(Datos!T12+Datos!AH12))/(Datos!T12+Datos!AH12))
     ),IF(J_V="SI",(Datos!J12-Datos!T12)/Datos!T12,(Datos!J12+Datos!Z12-(Datos!T12+Datos!AH12))/(Datos!T12+Datos!AH12))," - ")</f>
        <v>0.80769230769230771</v>
      </c>
      <c r="D12" s="456">
        <f>IF(ISNUMBER(
   IF(J_V="SI",(Datos!K12-Datos!U12)/Datos!U12,(Datos!K12+Datos!AA12-(Datos!U12+Datos!AI12))/(Datos!U12+Datos!AI12))
     ),IF(J_V="SI",(Datos!K12-Datos!U12)/Datos!U12,(Datos!K12+Datos!AA12-(Datos!U12+Datos!AI12))/(Datos!U12+Datos!AI12))," - ")</f>
        <v>0.1554054054054054</v>
      </c>
      <c r="E12" s="456">
        <f>IF(ISNUMBER(
   IF(J_V="SI",(Datos!L12-Datos!V12)/Datos!V12,(Datos!L12+Datos!AB12-(Datos!V12+Datos!AJ12))/(Datos!V12+Datos!AJ12))
     ),IF(J_V="SI",(Datos!L12-Datos!V12)/Datos!V12,(Datos!L12+Datos!AB12-(Datos!V12+Datos!AJ12))/(Datos!V12+Datos!AJ12))," - ")</f>
        <v>0.39225941422594141</v>
      </c>
      <c r="F12" s="456">
        <f>IF(ISNUMBER((Datos!M12-Datos!W12)/Datos!W12),(Datos!M12-Datos!W12)/Datos!W12," - ")</f>
        <v>-5.3571428571428568E-2</v>
      </c>
      <c r="G12" s="457">
        <f>IF(ISNUMBER((Datos!N12-Datos!X12)/Datos!X12),(Datos!N12-Datos!X12)/Datos!X12," - ")</f>
        <v>1.173913043478261</v>
      </c>
      <c r="H12" s="455">
        <f>IF(ISNUMBER(((NºAsuntos!G12/NºAsuntos!E12)-Datos!BD12)/Datos!BD12),((NºAsuntos!G12/NºAsuntos!E12)-Datos!BD12)/Datos!BD12," - ")</f>
        <v>-0.36083956296722253</v>
      </c>
      <c r="I12" s="456">
        <f>IF(ISNUMBER(((NºAsuntos!I12/NºAsuntos!G12)-Datos!BE12)/Datos!BE12),((NºAsuntos!I12/NºAsuntos!G12)-Datos!BE12)/Datos!BE12," - ")</f>
        <v>0.20499645207859254</v>
      </c>
      <c r="J12" s="461">
        <f>IF(ISNUMBER((('Resol  Asuntos'!D12/NºAsuntos!G12)-Datos!BF12)/Datos!BF12),(('Resol  Asuntos'!D12/NºAsuntos!G12)-Datos!BF12)/Datos!BF12," - ")</f>
        <v>0.99440630561912025</v>
      </c>
      <c r="K12" s="462">
        <f>IF(ISNUMBER((((NºAsuntos!C12+NºAsuntos!E12)/NºAsuntos!G12)-Datos!BG12)/Datos!BG12),(((NºAsuntos!C12+NºAsuntos!E12)/NºAsuntos!G12)-Datos!BG12)/Datos!BG12," - ")</f>
        <v>0.1902685516379945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0.33386243386243386</v>
      </c>
      <c r="C13" s="855">
        <f>IF(ISNUMBER(
   IF(J_V="SI",(Datos!J13-Datos!T13)/Datos!T13,(Datos!J13+Datos!Z13-(Datos!T13+Datos!AH13))/(Datos!T13+Datos!AH13))
     ),IF(J_V="SI",(Datos!J13-Datos!T13)/Datos!T13,(Datos!J13+Datos!Z13-(Datos!T13+Datos!AH13))/(Datos!T13+Datos!AH13))," - ")</f>
        <v>0.84065934065934067</v>
      </c>
      <c r="D13" s="855">
        <f>IF(ISNUMBER(
   IF(J_V="SI",(Datos!K13-Datos!U13)/Datos!U13,(Datos!K13+Datos!AA13-(Datos!U13+Datos!AI13))/(Datos!U13+Datos!AI13))
     ),IF(J_V="SI",(Datos!K13-Datos!U13)/Datos!U13,(Datos!K13+Datos!AA13-(Datos!U13+Datos!AI13))/(Datos!U13+Datos!AI13))," - ")</f>
        <v>0.16891891891891891</v>
      </c>
      <c r="E13" s="855">
        <f>IF(ISNUMBER(
   IF(J_V="SI",(Datos!L13-Datos!V13)/Datos!V13,(Datos!L13+Datos!AB13-(Datos!V13+Datos!AJ13))/(Datos!V13+Datos!AJ13))
     ),IF(J_V="SI",(Datos!L13-Datos!V13)/Datos!V13,(Datos!L13+Datos!AB13-(Datos!V13+Datos!AJ13))/(Datos!V13+Datos!AJ13))," - ")</f>
        <v>0.39449064449064447</v>
      </c>
      <c r="F13" s="856">
        <f>IF(ISNUMBER((Datos!M13-Datos!W13)/Datos!W13),(Datos!M13-Datos!W13)/Datos!W13," - ")</f>
        <v>-1.7857142857142856E-2</v>
      </c>
      <c r="G13" s="857">
        <f>IF(ISNUMBER((Datos!N13-Datos!X13)/Datos!X13),(Datos!N13-Datos!X13)/Datos!X13," - ")</f>
        <v>1.173913043478261</v>
      </c>
      <c r="H13" s="857">
        <f>IF(ISNUMBER(((NºAsuntos!G13/NºAsuntos!E13)-Datos!BD13)/Datos!BD13),((NºAsuntos!G13/NºAsuntos!E13)-Datos!BD13)/Datos!BD13," - ")</f>
        <v>-0.36494554255748285</v>
      </c>
      <c r="I13" s="857">
        <f>IF(ISNUMBER(((NºAsuntos!I13/NºAsuntos!G13)-Datos!BE13)/Datos!BE13),((NºAsuntos!I13/NºAsuntos!G13)-Datos!BE13)/Datos!BE13," - ")</f>
        <v>0.19297465540240102</v>
      </c>
      <c r="J13" s="857">
        <f>IF(ISNUMBER((('Resol  Asuntos'!D13/NºAsuntos!G13)-Datos!BF13)/Datos!BF13),(('Resol  Asuntos'!D13/NºAsuntos!G13)-Datos!BF13)/Datos!BF13," - ")</f>
        <v>1.0457401357124907</v>
      </c>
      <c r="K13" s="857">
        <f>IF(ISNUMBER((((NºAsuntos!C13+NºAsuntos!E13)/NºAsuntos!G13)-Datos!BG13)/Datos!BG13),(((NºAsuntos!C13+NºAsuntos!E13)/NºAsuntos!G13)-Datos!BG13)/Datos!BG13," - ")</f>
        <v>0.17919075144508664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0.11806981519507187</v>
      </c>
      <c r="C16" s="456">
        <f>IF(ISNUMBER(
   IF(D_I="SI",(Datos!J16-Datos!T16)/Datos!T16,(Datos!J16+Datos!AD16-(Datos!T16+Datos!AL16))/(Datos!T16+Datos!AL16))
     ),IF(D_I="SI",(Datos!J16-Datos!T16)/Datos!T16,(Datos!J16+Datos!AD16-(Datos!T16+Datos!AL16))/(Datos!T16+Datos!AL16))," - ")</f>
        <v>-0.17352941176470588</v>
      </c>
      <c r="D16" s="456">
        <f>IF(ISNUMBER(
   IF(D_I="SI",(Datos!K16-Datos!U16)/Datos!U16,(Datos!K16+Datos!AE16-(Datos!U16+Datos!AM16))/(Datos!U16+Datos!AM16))
     ),IF(D_I="SI",(Datos!K16-Datos!U16)/Datos!U16,(Datos!K16+Datos!AE16-(Datos!U16+Datos!AM16))/(Datos!U16+Datos!AM16))," - ")</f>
        <v>-0.54740061162079512</v>
      </c>
      <c r="E16" s="456">
        <f>IF(ISNUMBER(
   IF(D_I="SI",(Datos!L16-Datos!V16)/Datos!V16,(Datos!L16+Datos!AF16-(Datos!V16+Datos!AN16))/(Datos!V16+Datos!AN16))
     ),IF(D_I="SI",(Datos!L16-Datos!V16)/Datos!V16,(Datos!L16+Datos!AF16-(Datos!V16+Datos!AN16))/(Datos!V16+Datos!AN16))," - ")</f>
        <v>0.23809523809523808</v>
      </c>
      <c r="F16" s="456">
        <f>IF(ISNUMBER((Datos!M16-Datos!W16)/Datos!W16),(Datos!M16-Datos!W16)/Datos!W16," - ")</f>
        <v>0.42105263157894735</v>
      </c>
      <c r="G16" s="457">
        <f>IF(ISNUMBER((Datos!N16-Datos!X16)/Datos!X16),(Datos!N16-Datos!X16)/Datos!X16," - ")</f>
        <v>-0.70833333333333337</v>
      </c>
      <c r="H16" s="455">
        <f>IF(ISNUMBER(((NºAsuntos!G16/NºAsuntos!E16)-Datos!BD16)/Datos!BD16),((NºAsuntos!G16/NºAsuntos!E16)-Datos!BD16)/Datos!BD16," - ")</f>
        <v>-0.45237084680096212</v>
      </c>
      <c r="I16" s="456">
        <f>IF(ISNUMBER(((NºAsuntos!I16/NºAsuntos!G16)-Datos!BE16)/Datos!BE16),((NºAsuntos!I16/NºAsuntos!G16)-Datos!BE16)/Datos!BE16," - ")</f>
        <v>1.7355212355212355</v>
      </c>
      <c r="J16" s="461">
        <f>IF(ISNUMBER((('Resol  Asuntos'!D16/NºAsuntos!G16)-Datos!BF16)/Datos!BF16),(('Resol  Asuntos'!D16/NºAsuntos!G16)-Datos!BF16)/Datos!BF16," - ")</f>
        <v>2.1397581792318636</v>
      </c>
      <c r="K16" s="462">
        <f>IF(ISNUMBER((((NºAsuntos!C16+NºAsuntos!E16)/NºAsuntos!G16)-Datos!BG16)/Datos!BG16),(((NºAsuntos!C16+NºAsuntos!E16)/NºAsuntos!G16)-Datos!BG16)/Datos!BG16," - ")</f>
        <v>1.3036221152659506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v>
      </c>
      <c r="C17" s="456">
        <f>IF(ISNUMBER(
   IF(D_I="SI",(Datos!J17-Datos!T17)/Datos!T17,(Datos!J17+Datos!AD17-(Datos!T17+Datos!AL17))/(Datos!T17+Datos!AL17))
     ),IF(D_I="SI",(Datos!J17-Datos!T17)/Datos!T17,(Datos!J17+Datos!AD17-(Datos!T17+Datos!AL17))/(Datos!T17+Datos!AL17))," - ")</f>
        <v>1.1428571428571428</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-5.5555555555555552E-2</v>
      </c>
      <c r="F17" s="456">
        <f>IF(ISNUMBER((Datos!M17-Datos!W17)/Datos!W17),(Datos!M17-Datos!W17)/Datos!W17," - ")</f>
        <v>-0.5</v>
      </c>
      <c r="G17" s="457">
        <f>IF(ISNUMBER((Datos!N17-Datos!X17)/Datos!X17),(Datos!N17-Datos!X17)/Datos!X17," - ")</f>
        <v>0.25</v>
      </c>
      <c r="H17" s="455">
        <f>IF(ISNUMBER(((NºAsuntos!G17/NºAsuntos!E17)-Datos!BD17)/Datos!BD17),((NºAsuntos!G17/NºAsuntos!E17)-Datos!BD17)/Datos!BD17," - ")</f>
        <v>-6.6666666666666707E-2</v>
      </c>
      <c r="I17" s="456">
        <f>IF(ISNUMBER(((NºAsuntos!I17/NºAsuntos!G17)-Datos!BE17)/Datos!BE17),((NºAsuntos!I17/NºAsuntos!G17)-Datos!BE17)/Datos!BE17," - ")</f>
        <v>-0.52777777777777779</v>
      </c>
      <c r="J17" s="461">
        <f>IF(ISNUMBER((('Resol  Asuntos'!D17/NºAsuntos!G17)-Datos!BF17)/Datos!BF17),(('Resol  Asuntos'!D17/NºAsuntos!G17)-Datos!BF17)/Datos!BF17," - ")</f>
        <v>-0.74999999999999989</v>
      </c>
      <c r="K17" s="462">
        <f>IF(ISNUMBER((((NºAsuntos!C17+NºAsuntos!E17)/NºAsuntos!G17)-Datos!BG17)/Datos!BG17),(((NºAsuntos!C17+NºAsuntos!E17)/NºAsuntos!G17)-Datos!BG17)/Datos!BG17," - ")</f>
        <v>-0.40140845070422537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0.1025390625</v>
      </c>
      <c r="C18" s="855">
        <f>IF(ISNUMBER(
   IF(Criterios!B14="SI",(Datos!J18-Datos!T18)/Datos!T18,(Datos!J18+Datos!AD18-(Datos!T18+Datos!AL18))/(Datos!T18+Datos!AL18))
     ),IF(Criterios!B14="SI",(Datos!J18-Datos!T18)/Datos!T18,(Datos!J18+Datos!AD18-(Datos!T18+Datos!AL18))/(Datos!T18+Datos!AL18))," - ")</f>
        <v>-9.6952908587257622E-2</v>
      </c>
      <c r="D18" s="855">
        <f>IF(ISNUMBER(
   IF(Criterios!B14="SI",(Datos!K18-Datos!U18)/Datos!U18,(Datos!K18+Datos!AE18-(Datos!U18+Datos!AM18))/(Datos!U18+Datos!AM18))
     ),IF(Criterios!B14="SI",(Datos!K18-Datos!U18)/Datos!U18,(Datos!K18+Datos!AE18-(Datos!U18+Datos!AM18))/(Datos!U18+Datos!AM18))," - ")</f>
        <v>-0.47093023255813954</v>
      </c>
      <c r="E18" s="855">
        <f>IF(ISNUMBER(
   IF(Criterios!B14="SI",(Datos!L18-Datos!V18)/Datos!V18,(Datos!L18+Datos!AF18-(Datos!V18+Datos!AN18))/(Datos!V18+Datos!AN18))
     ),IF(Criterios!B14="SI",(Datos!L18-Datos!V18)/Datos!V18,(Datos!L18+Datos!AF18-(Datos!V18+Datos!AN18))/(Datos!V18+Datos!AN18))," - ")</f>
        <v>0.22286263208453411</v>
      </c>
      <c r="F18" s="856">
        <f>IF(ISNUMBER((Datos!M18-Datos!W18)/Datos!W18),(Datos!M18-Datos!W18)/Datos!W18," - ")</f>
        <v>0.2608695652173913</v>
      </c>
      <c r="G18" s="857">
        <f>IF(ISNUMBER((Datos!N18-Datos!X18)/Datos!X18),(Datos!N18-Datos!X18)/Datos!X18," - ")</f>
        <v>-0.6484375</v>
      </c>
      <c r="H18" s="857">
        <f>IF(ISNUMBER(((NºAsuntos!G18/NºAsuntos!E18)-Datos!BD18)/Datos!BD18),((NºAsuntos!G18/NºAsuntos!E18)-Datos!BD18)/Datos!BD18," - ")</f>
        <v>-0.4141282636610073</v>
      </c>
      <c r="I18" s="857">
        <f>IF(ISNUMBER(((NºAsuntos!I18/NºAsuntos!G18)-Datos!BE18)/Datos!BE18),((NºAsuntos!I18/NºAsuntos!G18)-Datos!BE18)/Datos!BE18," - ")</f>
        <v>1.3113447551487898</v>
      </c>
      <c r="J18" s="857">
        <f>IF(ISNUMBER((('Resol  Asuntos'!D18/NºAsuntos!G18)-Datos!BF18)/Datos!BF18),(('Resol  Asuntos'!D18/NºAsuntos!G18)-Datos!BF18)/Datos!BF18," - ")</f>
        <v>1.3831820353559485</v>
      </c>
      <c r="K18" s="857">
        <f>IF(ISNUMBER((((NºAsuntos!C18+NºAsuntos!E18)/NºAsuntos!G18)-Datos!BG18)/Datos!BG18),(((NºAsuntos!C18+NºAsuntos!E18)/NºAsuntos!G18)-Datos!BG18)/Datos!BG18," - ")</f>
        <v>0.98563890982663538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0.25257378174330819</v>
      </c>
      <c r="C19" s="802">
        <f>IF(ISNUMBER(
   IF(J_V="SI",(Datos!J19-Datos!T19)/Datos!T19,(Datos!J19+Datos!Z19-(Datos!T19+Datos!AH19))/(Datos!T19+Datos!AH19))
     ),IF(J_V="SI",(Datos!J19-Datos!T19)/Datos!T19,(Datos!J19+Datos!Z19-(Datos!T19+Datos!AH19))/(Datos!T19+Datos!AH19))," - ")</f>
        <v>0.21731123388581952</v>
      </c>
      <c r="D19" s="802">
        <f>IF(ISNUMBER(
   IF(J_V="SI",(Datos!K19-Datos!U19)/Datos!U19,(Datos!K19+Datos!AA19-(Datos!U19+Datos!AI19))/(Datos!U19+Datos!AI19))
     ),IF(J_V="SI",(Datos!K19-Datos!U19)/Datos!U19,(Datos!K19+Datos!AA19-(Datos!U19+Datos!AI19))/(Datos!U19+Datos!AI19))," - ")</f>
        <v>-0.27845528455284552</v>
      </c>
      <c r="E19" s="802">
        <f>IF(ISNUMBER(
   IF(J_V="SI",(Datos!L19-Datos!V19)/Datos!V19,(Datos!L19+Datos!AB19-(Datos!V19+Datos!AJ19))/(Datos!V19+Datos!AJ19))
     ),IF(J_V="SI",(Datos!L19-Datos!V19)/Datos!V19,(Datos!L19+Datos!AB19-(Datos!V19+Datos!AJ19))/(Datos!V19+Datos!AJ19))," - ")</f>
        <v>0.33423271500843171</v>
      </c>
      <c r="F19" s="803">
        <f>IF(ISNUMBER((Datos!M19-Datos!W19)/Datos!W19),(Datos!M19-Datos!W19)/Datos!W19," - ")</f>
        <v>6.3291139240506333E-2</v>
      </c>
      <c r="G19" s="804">
        <f>IF(ISNUMBER((Datos!N19-Datos!X19)/Datos!X19),(Datos!N19-Datos!X19)/Datos!X19," - ")</f>
        <v>-0.49820788530465948</v>
      </c>
      <c r="H19" s="805">
        <f>IF(ISNUMBER((Tasas!B19-Datos!BD19)/Datos!BD19),(Tasas!B19-Datos!BD19)/Datos!BD19," - ")</f>
        <v>-0.40726356960997745</v>
      </c>
      <c r="I19" s="806">
        <f>IF(ISNUMBER((Tasas!C19-Datos!BE19)/Datos!BE19),(Tasas!C19-Datos!BE19)/Datos!BE19," - ")</f>
        <v>0.84913379094126296</v>
      </c>
      <c r="J19" s="807">
        <f>IF(ISNUMBER((Tasas!D19-Datos!BF19)/Datos!BF19),(Tasas!D19-Datos!BF19)/Datos!BF19," - ")</f>
        <v>1.5308022045315373</v>
      </c>
      <c r="K19" s="807">
        <f>IF(ISNUMBER((Tasas!E19-Datos!BG19)/Datos!BG19),(Tasas!E19-Datos!BG19)/Datos!BG19," - ")</f>
        <v>0.72828512876506935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7uEaxefz4UepHABGodvPU7YMCuiTZDr3Rf5gsarzf3USi1yqcJhnkGx8LgwubofJsxxbKouorCNFSuhol/Tiw==" saltValue="0O4fxMaBc4LcCCQDzI3p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MOTILLA DEL PALANCAR</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10.5</v>
      </c>
      <c r="D10" s="444">
        <f>IF(ISNUMBER('Resol  Asuntos'!D10/NºAsuntos!G10),'Resol  Asuntos'!D10/NºAsuntos!G10," - ")</f>
        <v>1</v>
      </c>
      <c r="E10" s="445">
        <f>IF(ISNUMBER((NºAsuntos!C10+NºAsuntos!E10)/NºAsuntos!G10),(NºAsuntos!C10+NºAsuntos!E10)/NºAsuntos!G10," - ")</f>
        <v>11.5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0.51975683890577506</v>
      </c>
      <c r="C12" s="443">
        <f>IF(ISNUMBER(NºAsuntos!I12/NºAsuntos!G12),NºAsuntos!I12/NºAsuntos!G12," - ")</f>
        <v>15.567251461988304</v>
      </c>
      <c r="D12" s="444">
        <f>IF(ISNUMBER('Resol  Asuntos'!D12/NºAsuntos!G12),'Resol  Asuntos'!D12/NºAsuntos!G12," - ")</f>
        <v>0.30994152046783624</v>
      </c>
      <c r="E12" s="445">
        <f>IF(ISNUMBER((NºAsuntos!C12+NºAsuntos!E12)/NºAsuntos!G12),(NºAsuntos!C12+NºAsuntos!E12)/NºAsuntos!G12," - ")</f>
        <v>16.567251461988302</v>
      </c>
      <c r="G12" s="463"/>
    </row>
    <row r="13" spans="1:7" ht="14.25" thickTop="1" thickBot="1">
      <c r="A13" s="848" t="str">
        <f>Datos!A13</f>
        <v>TOTAL</v>
      </c>
      <c r="B13" s="858">
        <f>IF(ISNUMBER(NºAsuntos!G13/NºAsuntos!E13),NºAsuntos!G13/NºAsuntos!E13," - ")</f>
        <v>0.5164179104477612</v>
      </c>
      <c r="C13" s="859">
        <f>IF(ISNUMBER(NºAsuntos!I13/NºAsuntos!G13),NºAsuntos!I13/NºAsuntos!G13," - ")</f>
        <v>15.508670520231213</v>
      </c>
      <c r="D13" s="860">
        <f>IF(ISNUMBER('Resol  Asuntos'!D13/NºAsuntos!G13),'Resol  Asuntos'!D13/NºAsuntos!G13," - ")</f>
        <v>0.31791907514450868</v>
      </c>
      <c r="E13" s="861">
        <f>IF(ISNUMBER((NºAsuntos!C13+NºAsuntos!E13)/NºAsuntos!G13),(NºAsuntos!C13+NºAsuntos!E13)/NºAsuntos!G13," - ")</f>
        <v>16.508670520231213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0.5266903914590747</v>
      </c>
      <c r="C16" s="443">
        <f>IF(ISNUMBER(NºAsuntos!I16/NºAsuntos!G16),NºAsuntos!I16/NºAsuntos!G16," - ")</f>
        <v>8.2567567567567561</v>
      </c>
      <c r="D16" s="444">
        <f>IF(ISNUMBER('Resol  Asuntos'!D16/NºAsuntos!G16),'Resol  Asuntos'!D16/NºAsuntos!G16," - ")</f>
        <v>0.18243243243243243</v>
      </c>
      <c r="E16" s="445">
        <f>IF(ISNUMBER((NºAsuntos!C16+NºAsuntos!E16)/NºAsuntos!G16),(NºAsuntos!C16+NºAsuntos!E16)/NºAsuntos!G16," - ")</f>
        <v>9.2567567567567561</v>
      </c>
      <c r="G16" s="463"/>
    </row>
    <row r="17" spans="1:7" ht="13.5" thickBot="1">
      <c r="A17" s="402" t="str">
        <f>Datos!A17</f>
        <v>Jdos. Violencia contra la mujer</v>
      </c>
      <c r="B17" s="442">
        <f>IF(ISNUMBER(NºAsuntos!G17/NºAsuntos!E17),NºAsuntos!G17/NºAsuntos!E17," - ")</f>
        <v>0.75555555555555554</v>
      </c>
      <c r="C17" s="443">
        <f>IF(ISNUMBER(NºAsuntos!I17/NºAsuntos!G17),NºAsuntos!I17/NºAsuntos!G17," - ")</f>
        <v>1.5</v>
      </c>
      <c r="D17" s="444">
        <f>IF(ISNUMBER('Resol  Asuntos'!D17/NºAsuntos!G17),'Resol  Asuntos'!D17/NºAsuntos!G17," - ")</f>
        <v>5.8823529411764705E-2</v>
      </c>
      <c r="E17" s="445">
        <f>IF(ISNUMBER((NºAsuntos!C17+NºAsuntos!E17)/NºAsuntos!G17),(NºAsuntos!C17+NºAsuntos!E17)/NºAsuntos!G17," - ")</f>
        <v>2.5</v>
      </c>
      <c r="G17" s="463"/>
    </row>
    <row r="18" spans="1:7" ht="14.25" thickTop="1" thickBot="1">
      <c r="A18" s="848" t="str">
        <f>Datos!A18</f>
        <v>TOTAL</v>
      </c>
      <c r="B18" s="858">
        <f>IF(ISNUMBER(NºAsuntos!G18/NºAsuntos!E18),NºAsuntos!G18/NºAsuntos!E18," - ")</f>
        <v>0.55828220858895705</v>
      </c>
      <c r="C18" s="859">
        <f>IF(ISNUMBER(NºAsuntos!I18/NºAsuntos!G18),NºAsuntos!I18/NºAsuntos!G18," - ")</f>
        <v>6.9945054945054945</v>
      </c>
      <c r="D18" s="862">
        <f>IF(ISNUMBER('Resol  Asuntos'!D18/NºAsuntos!G18),'Resol  Asuntos'!D18/NºAsuntos!G18," - ")</f>
        <v>0.15934065934065933</v>
      </c>
      <c r="E18" s="861">
        <f>IF(ISNUMBER((NºAsuntos!C18+NºAsuntos!E18)/NºAsuntos!G18),(NºAsuntos!C18+NºAsuntos!E18)/NºAsuntos!G18," - ")</f>
        <v>7.9945054945054945</v>
      </c>
      <c r="G18" s="463"/>
    </row>
    <row r="19" spans="1:7" ht="15.75" customHeight="1" thickTop="1" thickBot="1">
      <c r="A19" s="793" t="str">
        <f>Datos!A19</f>
        <v>TOTAL JURISDICCIONES</v>
      </c>
      <c r="B19" s="808">
        <f>IF(ISNUMBER(NºAsuntos!G19/NºAsuntos!E19),NºAsuntos!G19/NºAsuntos!E19," - ")</f>
        <v>0.53706505295007567</v>
      </c>
      <c r="C19" s="809">
        <f>IF(ISNUMBER(NºAsuntos!I19/NºAsuntos!G19),NºAsuntos!I19/NºAsuntos!G19," - ")</f>
        <v>11.143661971830985</v>
      </c>
      <c r="D19" s="810">
        <f>IF(ISNUMBER('Resol  Asuntos'!D19/NºAsuntos!G19),'Resol  Asuntos'!D19/NºAsuntos!G19," - ")</f>
        <v>0.23661971830985915</v>
      </c>
      <c r="E19" s="811">
        <f>IF(ISNUMBER((NºAsuntos!C19+NºAsuntos!E19)/NºAsuntos!G19),(NºAsuntos!C19+NºAsuntos!E19)/NºAsuntos!G19," - ")</f>
        <v>12.143661971830985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R00xWpgS7ITBn40Wd6C4YX5hu7MlSGxiRpWmXSmh/ENSHnOni0C5QWTnir0n0eRdEPCVp+M6GAOa7dTimsPrA==" saltValue="43VMA2UtXI7pDe60zMkf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MOTILLA DEL PALANCAR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21</v>
      </c>
      <c r="AB10" s="334">
        <f>IF(ISNUMBER(Datos!R10),Datos!R10," - ")</f>
        <v>9</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21</v>
      </c>
      <c r="AN10" s="244">
        <f>IF(ISNUMBER('Resol  Asuntos'!D10/NºAsuntos!G10),'Resol  Asuntos'!D10/NºAsuntos!G10," - ")</f>
        <v>1</v>
      </c>
      <c r="AO10" s="245">
        <f>IF(ISNUMBER((NºAsuntos!C10+NºAsuntos!E10)/NºAsuntos!G10),(NºAsuntos!C10+NºAsuntos!E10)/NºAsuntos!G10," - ")</f>
        <v>11.5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v>
      </c>
      <c r="Y12" s="334">
        <f t="shared" si="0"/>
        <v>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2109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v>
      </c>
      <c r="AJ12" s="229" t="str">
        <f>IF(ISNUMBER(Datos!BW12),Datos!BW12," - ")</f>
        <v xml:space="preserve"> - </v>
      </c>
      <c r="AK12" s="228" t="str">
        <f>IF(ISNUMBER(Datos!BX12),Datos!BX12," - ")</f>
        <v xml:space="preserve"> - </v>
      </c>
      <c r="AL12" s="243">
        <f>IF(ISNUMBER(NºAsuntos!G12/NºAsuntos!E12),NºAsuntos!G12/NºAsuntos!E12," - ")</f>
        <v>0.51975683890577506</v>
      </c>
      <c r="AM12" s="260">
        <f>IF(ISNUMBER(((NºAsuntos!I12/NºAsuntos!G12)*11)/factor_trimestre),((NºAsuntos!I12/NºAsuntos!G12)*11)/factor_trimestre," - ")</f>
        <v>31.134502923976608</v>
      </c>
      <c r="AN12" s="244">
        <f>IF(ISNUMBER('Resol  Asuntos'!D12/NºAsuntos!G12),'Resol  Asuntos'!D12/NºAsuntos!G12," - ")</f>
        <v>0.30994152046783624</v>
      </c>
      <c r="AO12" s="245">
        <f>IF(ISNUMBER((NºAsuntos!C12+NºAsuntos!E12)/NºAsuntos!G12),(NºAsuntos!C12+NºAsuntos!E12)/NºAsuntos!G12," - ")</f>
        <v>16.567251461988302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17</v>
      </c>
      <c r="G13" s="866">
        <f t="shared" si="3"/>
        <v>17</v>
      </c>
      <c r="H13" s="865">
        <f t="shared" si="3"/>
        <v>0</v>
      </c>
      <c r="I13" s="867">
        <f t="shared" si="3"/>
        <v>0</v>
      </c>
      <c r="J13" s="867">
        <f t="shared" si="3"/>
        <v>0</v>
      </c>
      <c r="K13" s="867">
        <f t="shared" si="3"/>
        <v>0</v>
      </c>
      <c r="L13" s="867">
        <f t="shared" si="3"/>
        <v>51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27</v>
      </c>
      <c r="Y13" s="868">
        <f t="shared" si="4"/>
        <v>29</v>
      </c>
      <c r="Z13" s="868">
        <f t="shared" si="4"/>
        <v>0</v>
      </c>
      <c r="AA13" s="868">
        <f t="shared" si="4"/>
        <v>21</v>
      </c>
      <c r="AB13" s="868">
        <f t="shared" si="4"/>
        <v>2118</v>
      </c>
      <c r="AC13" s="868">
        <f t="shared" si="4"/>
        <v>30</v>
      </c>
      <c r="AD13" s="868">
        <f t="shared" si="4"/>
        <v>0</v>
      </c>
      <c r="AE13" s="872">
        <f t="shared" si="4"/>
        <v>0</v>
      </c>
      <c r="AF13" s="865">
        <f t="shared" si="4"/>
        <v>0</v>
      </c>
      <c r="AG13" s="873">
        <f t="shared" si="4"/>
        <v>0</v>
      </c>
      <c r="AH13" s="870">
        <f t="shared" si="4"/>
        <v>0</v>
      </c>
      <c r="AI13" s="865">
        <f t="shared" si="4"/>
        <v>55</v>
      </c>
      <c r="AJ13" s="867">
        <f t="shared" si="4"/>
        <v>0</v>
      </c>
      <c r="AK13" s="870">
        <f>SUBTOTAL(9,AK9:AK12)</f>
        <v>0</v>
      </c>
      <c r="AL13" s="874">
        <f>IF(ISNUMBER(NºAsuntos!G13/NºAsuntos!E13),NºAsuntos!G13/NºAsuntos!E13," - ")</f>
        <v>0.5164179104477612</v>
      </c>
      <c r="AM13" s="874">
        <f>IF(ISNUMBER(((NºAsuntos!I13/NºAsuntos!G13)*11)/factor_trimestre),((NºAsuntos!I13/NºAsuntos!G13)*11)/factor_trimestre," - ")</f>
        <v>31.017341040462426</v>
      </c>
      <c r="AN13" s="875">
        <f>IF(ISNUMBER('Resol  Asuntos'!D13/NºAsuntos!G13),'Resol  Asuntos'!D13/NºAsuntos!G13," - ")</f>
        <v>0.31791907514450868</v>
      </c>
      <c r="AO13" s="876">
        <f>IF(ISNUMBER((NºAsuntos!C13+NºAsuntos!E13)/NºAsuntos!G13),(NºAsuntos!C13+NºAsuntos!E13)/NºAsuntos!G13," - ")</f>
        <v>16.508670520231213</v>
      </c>
      <c r="AP13" s="877" t="str">
        <f t="shared" si="2"/>
        <v xml:space="preserve"> - </v>
      </c>
      <c r="AQ13" s="877">
        <f>IF(ISNUMBER((H13-W13+K13)/(F13)),(H13-W13+K13)/(F13)," - ")</f>
        <v>-0.11764705882352941</v>
      </c>
      <c r="AR13" s="878">
        <f>IF(ISNUMBER((Datos!P13-Datos!Q13)/(Datos!R13-Datos!P13+Datos!Q13)),(Datos!P13-Datos!Q13)/(Datos!R13-Datos!P13+Datos!Q13)," - ")</f>
        <v>1.1461318051575931E-2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1089</v>
      </c>
      <c r="G16" s="333">
        <f>IF(ISNUMBER(IF(D_I="SI",Datos!I16,Datos!I16+Datos!AC16)),IF(D_I="SI",Datos!I16,Datos!I16+Datos!AC16)," - ")</f>
        <v>1089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148</v>
      </c>
      <c r="X16" s="226">
        <f>IF(ISNUMBER(Datos!Q16),Datos!Q16," - ")</f>
        <v>0</v>
      </c>
      <c r="Y16" s="334">
        <f t="shared" ref="Y16:Y17" si="7">SUM(W16:X16)</f>
        <v>148</v>
      </c>
      <c r="Z16" s="335" t="str">
        <f>IF(ISNUMBER(Datos!CC16),Datos!CC16," - ")</f>
        <v xml:space="preserve"> - </v>
      </c>
      <c r="AA16" s="332">
        <f>IF(ISNUMBER(IF(D_I="SI",Datos!L16,Datos!L16+Datos!AF16)),IF(D_I="SI",Datos!L16,Datos!L16+Datos!AF16)," - ")</f>
        <v>1222</v>
      </c>
      <c r="AB16" s="334">
        <f>IF(ISNUMBER(Datos!R16),Datos!R16," - ")</f>
        <v>92</v>
      </c>
      <c r="AC16" s="334">
        <f t="shared" si="6"/>
        <v>1314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0.5266903914590747</v>
      </c>
      <c r="AM16" s="260">
        <f>IF(ISNUMBER(((NºAsuntos!I16/NºAsuntos!G16)*11)/factor_trimestre),((NºAsuntos!I16/NºAsuntos!G16)*11)/factor_trimestre," - ")</f>
        <v>16.513513513513512</v>
      </c>
      <c r="AN16" s="244">
        <f>IF(ISNUMBER('Resol  Asuntos'!D16/NºAsuntos!G16),'Resol  Asuntos'!D16/NºAsuntos!G16," - ")</f>
        <v>0.18243243243243243</v>
      </c>
      <c r="AO16" s="245">
        <f>IF(ISNUMBER((NºAsuntos!C16+NºAsuntos!E16)/NºAsuntos!G16),(NºAsuntos!C16+NºAsuntos!E16)/NºAsuntos!G16," - ")</f>
        <v>9.2567567567567561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v>
      </c>
      <c r="X17" s="226">
        <f>IF(ISNUMBER(Datos!Q17),Datos!Q17," - ")</f>
        <v>0</v>
      </c>
      <c r="Y17" s="334">
        <f t="shared" si="7"/>
        <v>34</v>
      </c>
      <c r="Z17" s="335" t="str">
        <f>IF(ISNUMBER(Datos!CC17),Datos!CC17," - ")</f>
        <v xml:space="preserve"> - </v>
      </c>
      <c r="AA17" s="332">
        <f>IF(ISNUMBER(Datos!L17),Datos!L17,"-")</f>
        <v>51</v>
      </c>
      <c r="AB17" s="334">
        <f>IF(ISNUMBER(Datos!R17),Datos!R17," - ")</f>
        <v>10</v>
      </c>
      <c r="AC17" s="334">
        <f t="shared" si="6"/>
        <v>61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0.75555555555555554</v>
      </c>
      <c r="AM17" s="260">
        <f>IF(ISNUMBER(((NºAsuntos!I17/NºAsuntos!G17)*11)/factor_trimestre),((NºAsuntos!I17/NºAsuntos!G17)*11)/factor_trimestre," - ")</f>
        <v>3</v>
      </c>
      <c r="AN17" s="244">
        <f>IF(ISNUMBER('Resol  Asuntos'!D17/NºAsuntos!G17),'Resol  Asuntos'!D17/NºAsuntos!G17," - ")</f>
        <v>5.8823529411764705E-2</v>
      </c>
      <c r="AO17" s="245">
        <f>IF(ISNUMBER((NºAsuntos!C17+NºAsuntos!E17)/NºAsuntos!G17),(NºAsuntos!C17+NºAsuntos!E17)/NºAsuntos!G17," - ")</f>
        <v>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1089</v>
      </c>
      <c r="G18" s="866">
        <f>SUBTOTAL(9,G15:G17)</f>
        <v>1129</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182</v>
      </c>
      <c r="X18" s="867">
        <f t="shared" si="11"/>
        <v>0</v>
      </c>
      <c r="Y18" s="868">
        <f t="shared" si="11"/>
        <v>182</v>
      </c>
      <c r="Z18" s="868">
        <f t="shared" si="11"/>
        <v>0</v>
      </c>
      <c r="AA18" s="868">
        <f t="shared" si="11"/>
        <v>1273</v>
      </c>
      <c r="AB18" s="868">
        <f t="shared" si="11"/>
        <v>102</v>
      </c>
      <c r="AC18" s="868">
        <f t="shared" si="11"/>
        <v>1375</v>
      </c>
      <c r="AD18" s="868">
        <f t="shared" si="11"/>
        <v>0</v>
      </c>
      <c r="AE18" s="872">
        <f t="shared" si="11"/>
        <v>0</v>
      </c>
      <c r="AF18" s="865">
        <f t="shared" si="11"/>
        <v>0</v>
      </c>
      <c r="AG18" s="873">
        <f t="shared" si="11"/>
        <v>0</v>
      </c>
      <c r="AH18" s="870">
        <f t="shared" si="11"/>
        <v>0</v>
      </c>
      <c r="AI18" s="865">
        <f t="shared" si="11"/>
        <v>29</v>
      </c>
      <c r="AJ18" s="867">
        <f t="shared" si="11"/>
        <v>0</v>
      </c>
      <c r="AK18" s="870">
        <f t="shared" si="11"/>
        <v>0</v>
      </c>
      <c r="AL18" s="874">
        <f>IF(ISNUMBER(NºAsuntos!G18/NºAsuntos!E18),NºAsuntos!G18/NºAsuntos!E18," - ")</f>
        <v>0.55828220858895705</v>
      </c>
      <c r="AM18" s="874">
        <f>IF(ISNUMBER(((NºAsuntos!I18/NºAsuntos!G18)*11)/factor_trimestre),((NºAsuntos!I18/NºAsuntos!G18)*11)/factor_trimestre," - ")</f>
        <v>13.989010989010989</v>
      </c>
      <c r="AN18" s="875">
        <f>IF(ISNUMBER('Resol  Asuntos'!D18/NºAsuntos!G18),'Resol  Asuntos'!D18/NºAsuntos!G18," - ")</f>
        <v>0.15934065934065933</v>
      </c>
      <c r="AO18" s="876">
        <f>IF(ISNUMBER((NºAsuntos!C18+NºAsuntos!E18)/NºAsuntos!G18),(NºAsuntos!C18+NºAsuntos!E18)/NºAsuntos!G18," - ")</f>
        <v>7.9945054945054945</v>
      </c>
      <c r="AP18" s="877" t="str">
        <f t="shared" si="2"/>
        <v xml:space="preserve"> - </v>
      </c>
      <c r="AQ18" s="877">
        <f>IF(ISNUMBER((H18-W18+K18)/(F18)),(H18-W18+K18)/(F18)," - ")</f>
        <v>-0.16712580348943984</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1106</v>
      </c>
      <c r="G19" s="821">
        <f t="shared" si="13"/>
        <v>1146</v>
      </c>
      <c r="H19" s="820">
        <f t="shared" si="13"/>
        <v>0</v>
      </c>
      <c r="I19" s="822">
        <f t="shared" si="13"/>
        <v>0</v>
      </c>
      <c r="J19" s="822">
        <f t="shared" si="13"/>
        <v>0</v>
      </c>
      <c r="K19" s="881">
        <f t="shared" si="13"/>
        <v>0</v>
      </c>
      <c r="L19" s="822">
        <f t="shared" si="13"/>
        <v>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184</v>
      </c>
      <c r="X19" s="821">
        <f t="shared" si="14"/>
        <v>27</v>
      </c>
      <c r="Y19" s="828">
        <f t="shared" si="14"/>
        <v>211</v>
      </c>
      <c r="Z19" s="828">
        <f t="shared" si="14"/>
        <v>0</v>
      </c>
      <c r="AA19" s="828">
        <f t="shared" si="14"/>
        <v>1294</v>
      </c>
      <c r="AB19" s="828">
        <f t="shared" si="14"/>
        <v>2220</v>
      </c>
      <c r="AC19" s="828">
        <f t="shared" si="14"/>
        <v>1405</v>
      </c>
      <c r="AD19" s="828">
        <f t="shared" si="14"/>
        <v>0</v>
      </c>
      <c r="AE19" s="830">
        <f t="shared" si="14"/>
        <v>0</v>
      </c>
      <c r="AF19" s="831">
        <f t="shared" si="14"/>
        <v>0</v>
      </c>
      <c r="AG19" s="832">
        <f t="shared" si="14"/>
        <v>0</v>
      </c>
      <c r="AH19" s="830">
        <f t="shared" si="14"/>
        <v>0</v>
      </c>
      <c r="AI19" s="820">
        <f t="shared" si="14"/>
        <v>84</v>
      </c>
      <c r="AJ19" s="820">
        <f t="shared" si="14"/>
        <v>0</v>
      </c>
      <c r="AK19" s="830">
        <f t="shared" si="14"/>
        <v>0</v>
      </c>
      <c r="AL19" s="884">
        <f>IF(ISNUMBER(NºAsuntos!G19/NºAsuntos!E19),NºAsuntos!G19/NºAsuntos!E19," - ")</f>
        <v>0.53706505295007567</v>
      </c>
      <c r="AM19" s="885">
        <f>IF(ISNUMBER(((NºAsuntos!I19/NºAsuntos!G19)*11)/factor_trimestre),((NºAsuntos!I19/NºAsuntos!G19)*11)/factor_trimestre," - ")</f>
        <v>22.287323943661971</v>
      </c>
      <c r="AN19" s="885">
        <f>IF(ISNUMBER('Resol  Asuntos'!D19/NºAsuntos!G19),'Resol  Asuntos'!D19/NºAsuntos!G19," - ")</f>
        <v>0.23661971830985915</v>
      </c>
      <c r="AO19" s="886">
        <f>IF(ISNUMBER((NºAsuntos!C19+NºAsuntos!E19)/NºAsuntos!G19),(NºAsuntos!C19+NºAsuntos!E19)/NºAsuntos!G19," - ")</f>
        <v>12.143661971830985</v>
      </c>
      <c r="AP19" s="887" t="str">
        <f t="shared" si="2"/>
        <v xml:space="preserve"> - </v>
      </c>
      <c r="AQ19" s="888">
        <f>IF(OR(ISNUMBER(FIND("01",Criterios!A8,1)),ISNUMBER(FIND("02",Criterios!A8,1)),ISNUMBER(FIND("03",Criterios!A8,1)),ISNUMBER(FIND("04",Criterios!A8,1))),(I19-W19+K19)/(F19-K19),(H19-W19+K19)/(F19-K19))</f>
        <v>-0.16636528028933092</v>
      </c>
      <c r="AR19" s="889">
        <f>IF(ISNUMBER((Datos!P19-Datos!Q19)/(Datos!R19-Datos!P19+Datos!Q19)),(Datos!P19-Datos!Q19)/(Datos!R19-Datos!P19+Datos!Q19)," - ")</f>
        <v>1.092896174863388E-2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618.91948857127875</v>
      </c>
      <c r="G21" s="253">
        <f>IF(ISNUMBER(STDEV(G8:G18)),STDEV(G8:G18),"-")</f>
        <v>594.15637672249215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85.304161680424485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23.272301132462172</v>
      </c>
      <c r="AJ21" s="252">
        <f t="shared" si="18"/>
        <v>0</v>
      </c>
      <c r="AK21" s="254">
        <f t="shared" si="18"/>
        <v>0</v>
      </c>
      <c r="AL21" s="249">
        <f t="shared" si="18"/>
        <v>0.13453843774561267</v>
      </c>
      <c r="AM21" s="250">
        <f t="shared" si="18"/>
        <v>10.786853054999648</v>
      </c>
      <c r="AN21" s="250">
        <f t="shared" si="18"/>
        <v>0.33867223588281709</v>
      </c>
      <c r="AO21" s="251">
        <f t="shared" si="18"/>
        <v>5.3934265274998285</v>
      </c>
      <c r="AP21" s="291" t="str">
        <f t="shared" si="18"/>
        <v>-</v>
      </c>
      <c r="AQ21" s="292">
        <f t="shared" si="18"/>
        <v>3.4986755877862888E-2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fYfm0Kg7O60Ezs/hwQ3uG4a1Bh/UK0bdvmgMvUPpb0TWPxyxWW7nEDoWHey1DBxAnwnlWQV5W/pFc4Z+5gCnaw==" saltValue="/dYeiHfc/MEkKDbdsx/b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MOTILLA DEL PALANCAR</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0.41666666666666669</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0.75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-5.3571428571428568E-2</v>
      </c>
      <c r="I12" s="350">
        <f>IF(ISNUMBER((Tasas!C12-Datos!BE12)/Datos!BE12),(Tasas!C12-Datos!BE12)/Datos!BE12," - ")</f>
        <v>0.20499645207859254</v>
      </c>
      <c r="J12" s="349">
        <f>IF(ISNUMBER((Tasas!D12-Datos!BF12)/Datos!BF12),(Tasas!D12-Datos!BF12)/Datos!BF12," - ")</f>
        <v>0.99440630561912025</v>
      </c>
      <c r="K12" s="351">
        <f>IF(ISNUMBER((Tasas!E12-Datos!BG12)/Datos!BG12),(Tasas!E12-Datos!BG12)/Datos!BG12," - ")</f>
        <v>0.1902685516379945</v>
      </c>
      <c r="M12" t="e">
        <f>IF(Monitorios="SI",Datos!CE12,0)</f>
        <v>#REF!</v>
      </c>
      <c r="N12" t="e">
        <f>IF(Monitorios="SI",Datos!CF12,0)</f>
        <v>#REF!</v>
      </c>
      <c r="O12" t="e">
        <f>IF(Monitorios="SI",Datos!CG12,0)</f>
        <v>#REF!</v>
      </c>
      <c r="P12" t="e">
        <f>IF(Monitorios="SI",Datos!CH12,0)</f>
        <v>#REF!</v>
      </c>
      <c r="Q12">
        <f>IF(J_V="SI",0,Datos!AG12)</f>
        <v>61</v>
      </c>
      <c r="R12">
        <f>IF(J_V="SI",0,Datos!AH12)</f>
        <v>3</v>
      </c>
      <c r="S12">
        <f>IF(J_V="SI",0,Datos!AI12)</f>
        <v>9</v>
      </c>
      <c r="T12">
        <f>IF(J_V="SI",0,Datos!AJ12)</f>
        <v>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-1.7857142857142856E-2</v>
      </c>
      <c r="I13" s="357">
        <f>IF(ISNUMBER((Tasas!C13-Datos!BE13)/Datos!BE13),(Tasas!C13-Datos!BE13)/Datos!BE13," - ")</f>
        <v>0.19297465540240102</v>
      </c>
      <c r="J13" s="355">
        <f>IF(ISNUMBER((Tasas!D13-Datos!BF13)/Datos!BF13),(Tasas!D13-Datos!BF13)/Datos!BF13," - ")</f>
        <v>1.0457401357124907</v>
      </c>
      <c r="K13" s="358">
        <f>IF(ISNUMBER((Tasas!E13-Datos!BG13)/Datos!BG13),(Tasas!E13-Datos!BG13)/Datos!BG13," - ")</f>
        <v>0.17919075144508664</v>
      </c>
      <c r="M13" t="e">
        <f>IF(Monitorios="SI",Datos!CE13,0)</f>
        <v>#REF!</v>
      </c>
      <c r="N13" t="e">
        <f>IF(Monitorios="SI",Datos!CF13,0)</f>
        <v>#REF!</v>
      </c>
      <c r="O13" t="e">
        <f>IF(Monitorios="SI",Datos!CG13,0)</f>
        <v>#REF!</v>
      </c>
      <c r="P13" t="e">
        <f>IF(Monitorios="SI",Datos!CH13,0)</f>
        <v>#REF!</v>
      </c>
      <c r="Q13">
        <f>IF(J_V="SI",0,Datos!AG13)</f>
        <v>61</v>
      </c>
      <c r="R13">
        <f>IF(J_V="SI",0,Datos!AH13)</f>
        <v>3</v>
      </c>
      <c r="S13">
        <f>IF(J_V="SI",0,Datos!AI13)</f>
        <v>9</v>
      </c>
      <c r="T13">
        <f>IF(J_V="SI",0,Datos!AJ13)</f>
        <v>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0.11806981519507187</v>
      </c>
      <c r="E16" s="348">
        <f>IF(ISNUMBER(
   IF(D_I="SI",(Datos!J16-Datos!T16)/Datos!T16,(Datos!J16+Datos!AD16-(Datos!T16+Datos!AL16))/(Datos!T16+Datos!AL16))
     ),IF(D_I="SI",(Datos!J16-Datos!T16)/Datos!T16,(Datos!J16+Datos!AD16-(Datos!T16+Datos!AL16))/(Datos!T16+Datos!AL16))," - ")</f>
        <v>-0.17352941176470588</v>
      </c>
      <c r="F16" s="348">
        <f>IF(ISNUMBER(
   IF(D_I="SI",(Datos!K16-Datos!U16)/Datos!U16,(Datos!K16+Datos!AE16-(Datos!U16+Datos!AM16))/(Datos!U16+Datos!AM16))
     ),IF(D_I="SI",(Datos!K16-Datos!U16)/Datos!U16,(Datos!K16+Datos!AE16-(Datos!U16+Datos!AM16))/(Datos!U16+Datos!AM16))," - ")</f>
        <v>-0.54740061162079512</v>
      </c>
      <c r="G16" s="349">
        <f>IF(ISNUMBER(
   IF(D_I="SI",(Datos!L16-Datos!V16)/Datos!V16,(Datos!L16+Datos!AF16-(Datos!V16+Datos!AN16))/(Datos!V16+Datos!AN16))
     ),IF(D_I="SI",(Datos!L16-Datos!V16)/Datos!V16,(Datos!L16+Datos!AF16-(Datos!V16+Datos!AN16))/(Datos!V16+Datos!AN16))," - ")</f>
        <v>0.23809523809523808</v>
      </c>
      <c r="H16" s="230">
        <f>IF(ISNUMBER((Datos!M16-Datos!W16)/Datos!W16),(Datos!M16-Datos!W16)/Datos!W16," - ")</f>
        <v>0.42105263157894735</v>
      </c>
      <c r="I16" s="350">
        <f>IF(ISNUMBER((Tasas!C16-Datos!BE16)/Datos!BE16),(Tasas!C16-Datos!BE16)/Datos!BE16," - ")</f>
        <v>1.7355212355212355</v>
      </c>
      <c r="J16" s="349">
        <f>IF(ISNUMBER((Tasas!D16-Datos!BF16)/Datos!BF16),(Tasas!D16-Datos!BF16)/Datos!BF16," - ")</f>
        <v>2.1397581792318636</v>
      </c>
      <c r="K16" s="351">
        <f>IF(ISNUMBER((Tasas!E16-Datos!BG16)/Datos!BG16),(Tasas!E16-Datos!BG16)/Datos!BG16," - ")</f>
        <v>1.3036221152659506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v>
      </c>
      <c r="E17" s="348">
        <f>IF(ISNUMBER(
   IF(D_I="SI",(Datos!J17-Datos!T17)/Datos!T17,(Datos!J17+Datos!AD17-(Datos!T17+Datos!AL17))/(Datos!T17+Datos!AL17))
     ),IF(D_I="SI",(Datos!J17-Datos!T17)/Datos!T17,(Datos!J17+Datos!AD17-(Datos!T17+Datos!AL17))/(Datos!T17+Datos!AL17))," - ")</f>
        <v>1.1428571428571428</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-5.5555555555555552E-2</v>
      </c>
      <c r="H17" s="230">
        <f>IF(ISNUMBER((Datos!M17-Datos!W17)/Datos!W17),(Datos!M17-Datos!W17)/Datos!W17," - ")</f>
        <v>-0.5</v>
      </c>
      <c r="I17" s="350">
        <f>IF(ISNUMBER((Tasas!C17-Datos!BE17)/Datos!BE17),(Tasas!C17-Datos!BE17)/Datos!BE17," - ")</f>
        <v>-0.52777777777777779</v>
      </c>
      <c r="J17" s="349">
        <f>IF(ISNUMBER((Tasas!D17-Datos!BF17)/Datos!BF17),(Tasas!D17-Datos!BF17)/Datos!BF17," - ")</f>
        <v>-0.74999999999999989</v>
      </c>
      <c r="K17" s="351">
        <f>IF(ISNUMBER((Tasas!E17-Datos!BG17)/Datos!BG17),(Tasas!E17-Datos!BG17)/Datos!BG17," - ")</f>
        <v>-0.40140845070422537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0.1025390625</v>
      </c>
      <c r="E18" s="354">
        <f>IF(ISNUMBER(
   IF(D_I="SI",(Datos!J18-Datos!T18)/Datos!T18,(Datos!J18+Datos!AD18-(Datos!T18+Datos!AL18))/(Datos!T18+Datos!AL18))
     ),IF(D_I="SI",(Datos!J18-Datos!T18)/Datos!T18,(Datos!J18+Datos!AD18-(Datos!T18+Datos!AL18))/(Datos!T18+Datos!AL18))," - ")</f>
        <v>-9.6952908587257622E-2</v>
      </c>
      <c r="F18" s="354">
        <f>IF(ISNUMBER(
   IF(D_I="SI",(Datos!K18-Datos!U18)/Datos!U18,(Datos!K18+Datos!AE18-(Datos!U18+Datos!AM18))/(Datos!U18+Datos!AM18))
     ),IF(D_I="SI",(Datos!K18-Datos!U18)/Datos!U18,(Datos!K18+Datos!AE18-(Datos!U18+Datos!AM18))/(Datos!U18+Datos!AM18))," - ")</f>
        <v>-0.47093023255813954</v>
      </c>
      <c r="G18" s="355">
        <f>IF(ISNUMBER(
   IF(D_I="SI",(Datos!L18-Datos!V18)/Datos!V18,(Datos!L18+Datos!AF18-(Datos!V18+Datos!AN18))/(Datos!V18+Datos!AN18))
     ),IF(D_I="SI",(Datos!L18-Datos!V18)/Datos!V18,(Datos!L18+Datos!AF18-(Datos!V18+Datos!AN18))/(Datos!V18+Datos!AN18))," - ")</f>
        <v>0.22286263208453411</v>
      </c>
      <c r="H18" s="356">
        <f>IF(ISNUMBER((Datos!M18-Datos!W18)/Datos!W18),(Datos!M18-Datos!W18)/Datos!W18," - ")</f>
        <v>0.2608695652173913</v>
      </c>
      <c r="I18" s="357">
        <f>IF(ISNUMBER((Tasas!C18-Datos!BE18)/Datos!BE18),(Tasas!C18-Datos!BE18)/Datos!BE18," - ")</f>
        <v>1.3113447551487898</v>
      </c>
      <c r="J18" s="355">
        <f>IF(ISNUMBER((Tasas!D18-Datos!BF18)/Datos!BF18),(Tasas!D18-Datos!BF18)/Datos!BF18," - ")</f>
        <v>1.3831820353559485</v>
      </c>
      <c r="K18" s="358">
        <f>IF(ISNUMBER((Tasas!E18-Datos!BG18)/Datos!BG18),(Tasas!E18-Datos!BG18)/Datos!BG18," - ")</f>
        <v>0.98563890982663538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0.25257378174330819</v>
      </c>
      <c r="E19" s="363">
        <f>IF(ISNUMBER(
   IF(J_V="SI",(Datos!J19-Datos!T19)/Datos!T19,(Datos!J19+Datos!Z19-(Datos!T19+Datos!AH19))/(Datos!T19+Datos!AH19))
     ),IF(J_V="SI",(Datos!J19-Datos!T19)/Datos!T19,(Datos!J19+Datos!Z19-(Datos!T19+Datos!AH19))/(Datos!T19+Datos!AH19))," - ")</f>
        <v>0.21731123388581952</v>
      </c>
      <c r="F19" s="363">
        <f>IF(ISNUMBER(
   IF(J_V="SI",(Datos!K19-Datos!U19)/Datos!U19,(Datos!K19+Datos!AA19-(Datos!U19+Datos!AI19))/(Datos!U19+Datos!AI19))
     ),IF(J_V="SI",(Datos!K19-Datos!U19)/Datos!U19,(Datos!K19+Datos!AA19-(Datos!U19+Datos!AI19))/(Datos!U19+Datos!AI19))," - ")</f>
        <v>-0.27845528455284552</v>
      </c>
      <c r="G19" s="364">
        <f>IF(ISNUMBER(
   IF(J_V="SI",(Datos!L19-Datos!V19)/Datos!V19,(Datos!L19+Datos!AB19-(Datos!V19+Datos!AJ19))/(Datos!V19+Datos!AJ19))
     ),IF(J_V="SI",(Datos!L19-Datos!V19)/Datos!V19,(Datos!L19+Datos!AB19-(Datos!V19+Datos!AJ19))/(Datos!V19+Datos!AJ19))," - ")</f>
        <v>0.33423271500843171</v>
      </c>
      <c r="H19" s="365">
        <f>IF(ISNUMBER((Datos!M19-Datos!W19)/Datos!W19),(Datos!M19-Datos!W19)/Datos!W19," - ")</f>
        <v>6.3291139240506333E-2</v>
      </c>
      <c r="I19" s="362">
        <f>IF(ISNUMBER((Tasas!C19-Datos!BE19)/Datos!BE19),(Tasas!C19-Datos!BE19)/Datos!BE19," - ")</f>
        <v>0.84913379094126296</v>
      </c>
      <c r="J19" s="363">
        <f>IF(ISNUMBER((Tasas!D19-Datos!BF19)/Datos!BF19),(Tasas!D19-Datos!BF19)/Datos!BF19," - ")</f>
        <v>1.5308022045315373</v>
      </c>
      <c r="K19" s="364">
        <f>IF(ISNUMBER((Tasas!E19-Datos!BG19)/Datos!BG19),(Tasas!E19-Datos!BG19)/Datos!BG19," - ")</f>
        <v>0.72828512876506935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0.25183551264365317</v>
      </c>
      <c r="E21" s="278">
        <f t="shared" si="1"/>
        <v>0.7389030705140599</v>
      </c>
      <c r="F21" s="278">
        <f t="shared" si="1"/>
        <v>0.87215557870255567</v>
      </c>
      <c r="G21" s="279">
        <f t="shared" si="1"/>
        <v>0.33576027548267806</v>
      </c>
      <c r="H21" s="285">
        <f t="shared" si="1"/>
        <v>0.3521665997355119</v>
      </c>
      <c r="I21" s="277">
        <f t="shared" si="1"/>
        <v>0.92027498007316422</v>
      </c>
      <c r="J21" s="278">
        <f t="shared" si="1"/>
        <v>1.0610741384486533</v>
      </c>
      <c r="K21" s="279">
        <f t="shared" si="1"/>
        <v>0.68579579485853914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NarW8zGOBxelOeX9orZr0ZehkhoSA/F2f2bryOlQX4GTU7zaKMZvI8Z+7qf2LJJPGNImlHsAR4Ucj91tAOc5Q==" saltValue="VW0jh3dsWuZSwi0pOyTa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